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Empresa Rumiñahui\2026\Proyecto Urinchillo\12. TDR Lote A y Lote B\5 Modelo Financiero\Definitivo Firmas\Para carpeta\"/>
    </mc:Choice>
  </mc:AlternateContent>
  <bookViews>
    <workbookView xWindow="0" yWindow="0" windowWidth="20490" windowHeight="7050" tabRatio="997"/>
  </bookViews>
  <sheets>
    <sheet name="INDICE" sheetId="1" r:id="rId1"/>
    <sheet name="RESULTADOS" sheetId="2" r:id="rId2"/>
    <sheet name="PARAMETROS DEL PROYECTO" sheetId="5" r:id="rId3"/>
    <sheet name="PRESUPUESTO GENERAL" sheetId="6" r:id="rId4"/>
    <sheet name="CRONOGRAMA VALORADO" sheetId="9" r:id="rId5"/>
    <sheet name="FLUJO DE INGRESOS" sheetId="10" r:id="rId6"/>
    <sheet name="FLUJO DE CAJA" sheetId="11" r:id="rId7"/>
    <sheet name="MATRIZ VAN TIR" sheetId="12" r:id="rId8"/>
    <sheet name="MATRIZ PUNTO EQUILIBRIO" sheetId="13" r:id="rId9"/>
  </sheets>
  <externalReferences>
    <externalReference r:id="rId10"/>
    <externalReference r:id="rId11"/>
    <externalReference r:id="rId12"/>
  </externalReferences>
  <definedNames>
    <definedName name="_xlnm._FilterDatabase" localSheetId="5" hidden="1">'FLUJO DE INGRESOS'!$A$16:$DU$117</definedName>
    <definedName name="_xlnm.Print_Area" localSheetId="6">'FLUJO DE CAJA'!$A$1:$IM$61</definedName>
    <definedName name="_xlnm.Print_Area" localSheetId="3">'PRESUPUESTO GENERAL'!$A$1:$I$186</definedName>
    <definedName name="_xlnm.Print_Area" localSheetId="1">RESULTADOS!$A$1:$D$39</definedName>
    <definedName name="CF">[1]Hoja1!$C$15</definedName>
    <definedName name="Comprobantes">'[2]Tabla de Comprobantes'!$A$3:$A$65</definedName>
    <definedName name="CV">[1]Hoja1!$I$15</definedName>
    <definedName name="PC">'[2]Tabla de Comprobantes'!$E$3:$E$14</definedName>
    <definedName name="PU">[1]Hoja1!$C$11</definedName>
  </definedNames>
  <calcPr calcId="162913" forceFullCalc="1"/>
</workbook>
</file>

<file path=xl/calcChain.xml><?xml version="1.0" encoding="utf-8"?>
<calcChain xmlns="http://schemas.openxmlformats.org/spreadsheetml/2006/main">
  <c r="C23" i="9" l="1"/>
  <c r="C33" i="9"/>
  <c r="C31" i="9"/>
  <c r="C29" i="9"/>
  <c r="C27" i="9"/>
  <c r="C25" i="9"/>
  <c r="B80" i="9" l="1"/>
  <c r="B76" i="9"/>
  <c r="B72" i="9"/>
  <c r="B43" i="13"/>
  <c r="B42" i="13"/>
  <c r="B41" i="13"/>
  <c r="B40" i="13"/>
  <c r="B39" i="13"/>
  <c r="B38" i="13"/>
  <c r="B37" i="13"/>
  <c r="B36" i="13"/>
  <c r="B35" i="13"/>
  <c r="B34" i="13"/>
  <c r="B33" i="13"/>
  <c r="B32" i="13"/>
  <c r="C31" i="13"/>
  <c r="B31" i="13"/>
  <c r="C30" i="13"/>
  <c r="F30" i="13" s="1"/>
  <c r="B30" i="13"/>
  <c r="C29" i="13"/>
  <c r="B29" i="13"/>
  <c r="C28" i="13"/>
  <c r="F28" i="13" s="1"/>
  <c r="B28" i="13"/>
  <c r="C27" i="13"/>
  <c r="B27" i="13"/>
  <c r="C26" i="13"/>
  <c r="F26" i="13" s="1"/>
  <c r="B26" i="13"/>
  <c r="C25" i="13"/>
  <c r="B25" i="13"/>
  <c r="C24" i="13"/>
  <c r="F24" i="13" s="1"/>
  <c r="B24" i="13"/>
  <c r="C23" i="13"/>
  <c r="B23" i="13"/>
  <c r="B22" i="13"/>
  <c r="B78" i="12"/>
  <c r="B77" i="12"/>
  <c r="B76" i="12"/>
  <c r="B75" i="12"/>
  <c r="B74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6" i="12"/>
  <c r="D44" i="12" s="1"/>
  <c r="BE61" i="11"/>
  <c r="BE59" i="11"/>
  <c r="A57" i="11"/>
  <c r="A56" i="11"/>
  <c r="A55" i="11"/>
  <c r="A54" i="11"/>
  <c r="A53" i="11"/>
  <c r="A52" i="11"/>
  <c r="A51" i="11"/>
  <c r="BE48" i="11"/>
  <c r="BI47" i="11"/>
  <c r="BA46" i="11"/>
  <c r="AZ46" i="11"/>
  <c r="AY46" i="11"/>
  <c r="AX46" i="11"/>
  <c r="AW46" i="11"/>
  <c r="AV46" i="11"/>
  <c r="AU46" i="11"/>
  <c r="AT46" i="11"/>
  <c r="AS46" i="11"/>
  <c r="AR46" i="11"/>
  <c r="AQ46" i="11"/>
  <c r="AP46" i="11"/>
  <c r="AO46" i="11"/>
  <c r="AN46" i="11"/>
  <c r="AM46" i="11"/>
  <c r="AL46" i="11"/>
  <c r="AK46" i="11"/>
  <c r="AJ46" i="11"/>
  <c r="AI46" i="11"/>
  <c r="AH46" i="11"/>
  <c r="AG46" i="11"/>
  <c r="AF46" i="11"/>
  <c r="AE46" i="11"/>
  <c r="AD46" i="11"/>
  <c r="AC46" i="11"/>
  <c r="BA45" i="11"/>
  <c r="AZ45" i="11"/>
  <c r="AY45" i="11"/>
  <c r="AX45" i="11"/>
  <c r="AW45" i="11"/>
  <c r="AV45" i="11"/>
  <c r="AU45" i="11"/>
  <c r="AT45" i="11"/>
  <c r="AS45" i="11"/>
  <c r="AR45" i="11"/>
  <c r="AQ45" i="11"/>
  <c r="AP45" i="11"/>
  <c r="AO45" i="11"/>
  <c r="AN45" i="11"/>
  <c r="AM45" i="11"/>
  <c r="AL45" i="11"/>
  <c r="AK45" i="11"/>
  <c r="AJ45" i="11"/>
  <c r="AI45" i="11"/>
  <c r="AH45" i="11"/>
  <c r="AG45" i="11"/>
  <c r="AF45" i="11"/>
  <c r="AE45" i="11"/>
  <c r="AD45" i="11"/>
  <c r="AC45" i="11"/>
  <c r="BA44" i="11"/>
  <c r="AZ44" i="11"/>
  <c r="AY44" i="11"/>
  <c r="AX44" i="11"/>
  <c r="AW44" i="11"/>
  <c r="AV44" i="11"/>
  <c r="AU44" i="11"/>
  <c r="AT44" i="11"/>
  <c r="AS44" i="11"/>
  <c r="AR44" i="11"/>
  <c r="AQ44" i="11"/>
  <c r="AP44" i="11"/>
  <c r="AO44" i="11"/>
  <c r="AN44" i="11"/>
  <c r="AM44" i="11"/>
  <c r="AL44" i="11"/>
  <c r="AK44" i="11"/>
  <c r="AJ44" i="11"/>
  <c r="AI44" i="11"/>
  <c r="AH44" i="11"/>
  <c r="AG44" i="11"/>
  <c r="AF44" i="11"/>
  <c r="AE44" i="11"/>
  <c r="AD44" i="11"/>
  <c r="AC44" i="11"/>
  <c r="AB44" i="11"/>
  <c r="AA44" i="11"/>
  <c r="Z44" i="11"/>
  <c r="Y44" i="11"/>
  <c r="X44" i="11"/>
  <c r="W44" i="11"/>
  <c r="V44" i="11"/>
  <c r="U44" i="11"/>
  <c r="T44" i="11"/>
  <c r="S44" i="11"/>
  <c r="R44" i="11"/>
  <c r="Q44" i="11"/>
  <c r="P44" i="11"/>
  <c r="O44" i="11"/>
  <c r="N44" i="11"/>
  <c r="M44" i="11"/>
  <c r="L44" i="11"/>
  <c r="K44" i="11"/>
  <c r="J44" i="11"/>
  <c r="I44" i="11"/>
  <c r="H44" i="11"/>
  <c r="G44" i="11"/>
  <c r="C44" i="11"/>
  <c r="BA43" i="11"/>
  <c r="AZ43" i="11"/>
  <c r="AY43" i="11"/>
  <c r="AX43" i="11"/>
  <c r="AW43" i="11"/>
  <c r="AV43" i="11"/>
  <c r="AU43" i="11"/>
  <c r="AT43" i="11"/>
  <c r="AS43" i="11"/>
  <c r="AR43" i="11"/>
  <c r="AQ43" i="11"/>
  <c r="AP43" i="11"/>
  <c r="AO43" i="11"/>
  <c r="AN43" i="11"/>
  <c r="AM43" i="11"/>
  <c r="AL43" i="11"/>
  <c r="AK43" i="11"/>
  <c r="AJ43" i="11"/>
  <c r="AI43" i="11"/>
  <c r="AH43" i="11"/>
  <c r="AG43" i="11"/>
  <c r="AF43" i="11"/>
  <c r="AE43" i="11"/>
  <c r="AD43" i="11"/>
  <c r="AC43" i="11"/>
  <c r="AB43" i="11"/>
  <c r="AA43" i="11"/>
  <c r="Z43" i="11"/>
  <c r="Y43" i="11"/>
  <c r="X43" i="11"/>
  <c r="W43" i="11"/>
  <c r="V43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C43" i="11"/>
  <c r="BA42" i="11"/>
  <c r="AZ42" i="11"/>
  <c r="AY42" i="11"/>
  <c r="AX42" i="11"/>
  <c r="AW42" i="11"/>
  <c r="AV42" i="11"/>
  <c r="AU42" i="11"/>
  <c r="AT42" i="11"/>
  <c r="AS42" i="11"/>
  <c r="AR42" i="11"/>
  <c r="AQ42" i="11"/>
  <c r="AP42" i="11"/>
  <c r="AO42" i="11"/>
  <c r="AN42" i="11"/>
  <c r="AM42" i="11"/>
  <c r="AL42" i="11"/>
  <c r="AK42" i="11"/>
  <c r="AJ42" i="11"/>
  <c r="AI42" i="11"/>
  <c r="AH42" i="11"/>
  <c r="AG42" i="11"/>
  <c r="AF42" i="11"/>
  <c r="AE42" i="11"/>
  <c r="AD42" i="11"/>
  <c r="AC42" i="11"/>
  <c r="AB42" i="11"/>
  <c r="AA42" i="11"/>
  <c r="Z42" i="11"/>
  <c r="Y42" i="11"/>
  <c r="X42" i="11"/>
  <c r="W42" i="11"/>
  <c r="V42" i="11"/>
  <c r="U42" i="11"/>
  <c r="T42" i="11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C42" i="11"/>
  <c r="BA41" i="11"/>
  <c r="AZ41" i="11"/>
  <c r="AY41" i="11"/>
  <c r="AX41" i="11"/>
  <c r="AW41" i="11"/>
  <c r="AV41" i="11"/>
  <c r="AU41" i="11"/>
  <c r="AT41" i="11"/>
  <c r="AS41" i="11"/>
  <c r="AR41" i="11"/>
  <c r="AQ41" i="11"/>
  <c r="AP41" i="11"/>
  <c r="AO41" i="11"/>
  <c r="AN41" i="11"/>
  <c r="AM41" i="11"/>
  <c r="AL41" i="11"/>
  <c r="AK41" i="11"/>
  <c r="AJ41" i="11"/>
  <c r="AI41" i="11"/>
  <c r="AH41" i="11"/>
  <c r="AG41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C41" i="11"/>
  <c r="BA40" i="11"/>
  <c r="AZ40" i="11"/>
  <c r="AY40" i="11"/>
  <c r="AX40" i="11"/>
  <c r="AW40" i="11"/>
  <c r="AV40" i="11"/>
  <c r="AU40" i="11"/>
  <c r="AT40" i="11"/>
  <c r="AS40" i="11"/>
  <c r="AR40" i="11"/>
  <c r="AQ40" i="11"/>
  <c r="AP40" i="11"/>
  <c r="AO40" i="11"/>
  <c r="AN40" i="11"/>
  <c r="AM40" i="11"/>
  <c r="AL40" i="11"/>
  <c r="AK40" i="11"/>
  <c r="AJ40" i="11"/>
  <c r="AI40" i="11"/>
  <c r="AH40" i="11"/>
  <c r="AG40" i="11"/>
  <c r="AF40" i="11"/>
  <c r="AE40" i="11"/>
  <c r="AD40" i="11"/>
  <c r="AC40" i="11"/>
  <c r="AB40" i="11"/>
  <c r="AA40" i="11"/>
  <c r="Z40" i="11"/>
  <c r="Y40" i="11"/>
  <c r="X40" i="11"/>
  <c r="W40" i="11"/>
  <c r="V40" i="11"/>
  <c r="U40" i="11"/>
  <c r="T40" i="11"/>
  <c r="S40" i="11"/>
  <c r="R40" i="11"/>
  <c r="Q40" i="11"/>
  <c r="P40" i="11"/>
  <c r="O40" i="11"/>
  <c r="N40" i="11"/>
  <c r="M40" i="11"/>
  <c r="L40" i="11"/>
  <c r="K40" i="11"/>
  <c r="J40" i="11"/>
  <c r="I40" i="11"/>
  <c r="H40" i="11"/>
  <c r="G40" i="11"/>
  <c r="C40" i="11"/>
  <c r="BA39" i="11"/>
  <c r="AZ39" i="11"/>
  <c r="AY39" i="11"/>
  <c r="AX39" i="11"/>
  <c r="AW39" i="11"/>
  <c r="AV39" i="11"/>
  <c r="AU39" i="11"/>
  <c r="AT39" i="11"/>
  <c r="AS39" i="11"/>
  <c r="AR39" i="11"/>
  <c r="AQ39" i="11"/>
  <c r="AP39" i="11"/>
  <c r="AO39" i="11"/>
  <c r="AN39" i="11"/>
  <c r="AM39" i="11"/>
  <c r="AL39" i="11"/>
  <c r="AK39" i="11"/>
  <c r="AJ39" i="11"/>
  <c r="AI39" i="11"/>
  <c r="AH39" i="11"/>
  <c r="AG39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C39" i="11"/>
  <c r="BA38" i="11"/>
  <c r="AZ38" i="11"/>
  <c r="AY38" i="11"/>
  <c r="AX38" i="11"/>
  <c r="AW38" i="11"/>
  <c r="AV38" i="11"/>
  <c r="AU38" i="11"/>
  <c r="AT38" i="11"/>
  <c r="AS38" i="11"/>
  <c r="AR38" i="11"/>
  <c r="AQ38" i="11"/>
  <c r="AP38" i="11"/>
  <c r="AO38" i="11"/>
  <c r="AN38" i="11"/>
  <c r="AM38" i="11"/>
  <c r="AL38" i="11"/>
  <c r="AK38" i="11"/>
  <c r="AJ38" i="11"/>
  <c r="AI38" i="11"/>
  <c r="AH38" i="11"/>
  <c r="AG38" i="11"/>
  <c r="AF38" i="11"/>
  <c r="AE38" i="11"/>
  <c r="AD38" i="11"/>
  <c r="AC38" i="11"/>
  <c r="AB38" i="11"/>
  <c r="AA38" i="11"/>
  <c r="Z38" i="11"/>
  <c r="Y38" i="11"/>
  <c r="X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C38" i="11"/>
  <c r="BA37" i="11"/>
  <c r="AZ37" i="11"/>
  <c r="AY37" i="11"/>
  <c r="AX37" i="11"/>
  <c r="AW37" i="11"/>
  <c r="AV37" i="11"/>
  <c r="AU37" i="11"/>
  <c r="AT37" i="11"/>
  <c r="AS37" i="11"/>
  <c r="AR37" i="11"/>
  <c r="AQ37" i="11"/>
  <c r="AP37" i="11"/>
  <c r="AO37" i="11"/>
  <c r="AN37" i="11"/>
  <c r="AM37" i="11"/>
  <c r="AL37" i="11"/>
  <c r="AK37" i="11"/>
  <c r="AJ37" i="11"/>
  <c r="AI37" i="11"/>
  <c r="AH37" i="11"/>
  <c r="AG37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C37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C36" i="11"/>
  <c r="BI34" i="11"/>
  <c r="E33" i="11"/>
  <c r="B33" i="11"/>
  <c r="A31" i="11"/>
  <c r="E30" i="11"/>
  <c r="B30" i="11"/>
  <c r="D26" i="11"/>
  <c r="E18" i="11"/>
  <c r="B18" i="11"/>
  <c r="AA15" i="11"/>
  <c r="AB15" i="11" s="1"/>
  <c r="AC15" i="11" s="1"/>
  <c r="AD15" i="11" s="1"/>
  <c r="AE15" i="11" s="1"/>
  <c r="AF15" i="11" s="1"/>
  <c r="AG15" i="11" s="1"/>
  <c r="AH15" i="11" s="1"/>
  <c r="AI15" i="11" s="1"/>
  <c r="AJ15" i="11" s="1"/>
  <c r="AK15" i="11" s="1"/>
  <c r="AL15" i="11" s="1"/>
  <c r="AM15" i="11" s="1"/>
  <c r="AN15" i="11" s="1"/>
  <c r="AO15" i="11" s="1"/>
  <c r="AP15" i="11" s="1"/>
  <c r="AQ15" i="11" s="1"/>
  <c r="I13" i="11"/>
  <c r="J13" i="11" s="1"/>
  <c r="K13" i="11" s="1"/>
  <c r="L13" i="11" s="1"/>
  <c r="M13" i="11" s="1"/>
  <c r="N13" i="11" s="1"/>
  <c r="O13" i="11" s="1"/>
  <c r="P13" i="11" s="1"/>
  <c r="Q13" i="11" s="1"/>
  <c r="R13" i="11" s="1"/>
  <c r="S13" i="11" s="1"/>
  <c r="T13" i="11" s="1"/>
  <c r="U13" i="11" s="1"/>
  <c r="V13" i="11" s="1"/>
  <c r="W13" i="11" s="1"/>
  <c r="X13" i="11" s="1"/>
  <c r="Y13" i="11" s="1"/>
  <c r="Z13" i="11" s="1"/>
  <c r="AA13" i="11" s="1"/>
  <c r="AB13" i="11" s="1"/>
  <c r="AC13" i="11" s="1"/>
  <c r="AD13" i="11" s="1"/>
  <c r="AE13" i="11" s="1"/>
  <c r="AF13" i="11" s="1"/>
  <c r="AG13" i="11" s="1"/>
  <c r="AH13" i="11" s="1"/>
  <c r="AI13" i="11" s="1"/>
  <c r="AJ13" i="11" s="1"/>
  <c r="AK13" i="11" s="1"/>
  <c r="AL13" i="11" s="1"/>
  <c r="AM13" i="11" s="1"/>
  <c r="AN13" i="11" s="1"/>
  <c r="AO13" i="11" s="1"/>
  <c r="AP13" i="11" s="1"/>
  <c r="AQ13" i="11" s="1"/>
  <c r="AR13" i="11" s="1"/>
  <c r="AS13" i="11" s="1"/>
  <c r="AT13" i="11" s="1"/>
  <c r="AU13" i="11" s="1"/>
  <c r="AV13" i="11" s="1"/>
  <c r="AW13" i="11" s="1"/>
  <c r="AX13" i="11" s="1"/>
  <c r="AY13" i="11" s="1"/>
  <c r="AZ13" i="11" s="1"/>
  <c r="BA13" i="11" s="1"/>
  <c r="BB13" i="11" s="1"/>
  <c r="A3" i="11"/>
  <c r="A1" i="11"/>
  <c r="DS131" i="10"/>
  <c r="DR131" i="10"/>
  <c r="DQ131" i="10"/>
  <c r="DP131" i="10"/>
  <c r="DO131" i="10"/>
  <c r="DN131" i="10"/>
  <c r="DM131" i="10"/>
  <c r="DL131" i="10"/>
  <c r="DK131" i="10"/>
  <c r="DJ131" i="10"/>
  <c r="DI131" i="10"/>
  <c r="DH131" i="10"/>
  <c r="DG131" i="10"/>
  <c r="DF131" i="10"/>
  <c r="DE131" i="10"/>
  <c r="DD131" i="10"/>
  <c r="DC131" i="10"/>
  <c r="DB131" i="10"/>
  <c r="DA131" i="10"/>
  <c r="CZ131" i="10"/>
  <c r="CY131" i="10"/>
  <c r="CX131" i="10"/>
  <c r="CW131" i="10"/>
  <c r="CV131" i="10"/>
  <c r="CU131" i="10"/>
  <c r="CT131" i="10"/>
  <c r="CS131" i="10"/>
  <c r="CR131" i="10"/>
  <c r="CQ131" i="10"/>
  <c r="CP131" i="10"/>
  <c r="CO131" i="10"/>
  <c r="CN131" i="10"/>
  <c r="CM131" i="10"/>
  <c r="CL131" i="10"/>
  <c r="CK131" i="10"/>
  <c r="CJ131" i="10"/>
  <c r="CI131" i="10"/>
  <c r="CH131" i="10"/>
  <c r="CG131" i="10"/>
  <c r="CF131" i="10"/>
  <c r="CE131" i="10"/>
  <c r="CD131" i="10"/>
  <c r="CC131" i="10"/>
  <c r="CB131" i="10"/>
  <c r="CA131" i="10"/>
  <c r="BZ131" i="10"/>
  <c r="BY131" i="10"/>
  <c r="BX131" i="10"/>
  <c r="BW131" i="10"/>
  <c r="BV131" i="10"/>
  <c r="BU131" i="10"/>
  <c r="BT131" i="10"/>
  <c r="BS131" i="10"/>
  <c r="BR131" i="10"/>
  <c r="BQ131" i="10"/>
  <c r="BP131" i="10"/>
  <c r="BO131" i="10"/>
  <c r="BN131" i="10"/>
  <c r="BM131" i="10"/>
  <c r="BL131" i="10"/>
  <c r="BK131" i="10"/>
  <c r="BJ131" i="10"/>
  <c r="BI131" i="10"/>
  <c r="BH131" i="10"/>
  <c r="BG131" i="10"/>
  <c r="BF131" i="10"/>
  <c r="BE131" i="10"/>
  <c r="BD131" i="10"/>
  <c r="BC131" i="10"/>
  <c r="BB131" i="10"/>
  <c r="BA131" i="10"/>
  <c r="AS131" i="10"/>
  <c r="AR131" i="10"/>
  <c r="X131" i="10"/>
  <c r="DS130" i="10"/>
  <c r="DR130" i="10"/>
  <c r="DQ130" i="10"/>
  <c r="DP130" i="10"/>
  <c r="DO130" i="10"/>
  <c r="DN130" i="10"/>
  <c r="DM130" i="10"/>
  <c r="DL130" i="10"/>
  <c r="DK130" i="10"/>
  <c r="DJ130" i="10"/>
  <c r="DI130" i="10"/>
  <c r="DH130" i="10"/>
  <c r="DG130" i="10"/>
  <c r="DF130" i="10"/>
  <c r="DE130" i="10"/>
  <c r="DD130" i="10"/>
  <c r="DC130" i="10"/>
  <c r="DB130" i="10"/>
  <c r="DA130" i="10"/>
  <c r="CZ130" i="10"/>
  <c r="CY130" i="10"/>
  <c r="CX130" i="10"/>
  <c r="CW130" i="10"/>
  <c r="CV130" i="10"/>
  <c r="CU130" i="10"/>
  <c r="CT130" i="10"/>
  <c r="CS130" i="10"/>
  <c r="CR130" i="10"/>
  <c r="CQ130" i="10"/>
  <c r="CP130" i="10"/>
  <c r="CO130" i="10"/>
  <c r="CN130" i="10"/>
  <c r="CM130" i="10"/>
  <c r="CL130" i="10"/>
  <c r="CK130" i="10"/>
  <c r="CJ130" i="10"/>
  <c r="CI130" i="10"/>
  <c r="CH130" i="10"/>
  <c r="CG130" i="10"/>
  <c r="CF130" i="10"/>
  <c r="CE130" i="10"/>
  <c r="CD130" i="10"/>
  <c r="CC130" i="10"/>
  <c r="CB130" i="10"/>
  <c r="CA130" i="10"/>
  <c r="BZ130" i="10"/>
  <c r="BY130" i="10"/>
  <c r="BX130" i="10"/>
  <c r="BW130" i="10"/>
  <c r="BV130" i="10"/>
  <c r="BU130" i="10"/>
  <c r="BT130" i="10"/>
  <c r="BS130" i="10"/>
  <c r="BR130" i="10"/>
  <c r="BQ130" i="10"/>
  <c r="BP130" i="10"/>
  <c r="BO130" i="10"/>
  <c r="BN130" i="10"/>
  <c r="BM130" i="10"/>
  <c r="BL130" i="10"/>
  <c r="BK130" i="10"/>
  <c r="BJ130" i="10"/>
  <c r="BI130" i="10"/>
  <c r="BH130" i="10"/>
  <c r="BG130" i="10"/>
  <c r="BF130" i="10"/>
  <c r="BE130" i="10"/>
  <c r="BD130" i="10"/>
  <c r="BC130" i="10"/>
  <c r="BB130" i="10"/>
  <c r="BA130" i="10"/>
  <c r="AZ130" i="10"/>
  <c r="AY130" i="10"/>
  <c r="AX130" i="10"/>
  <c r="AW130" i="10"/>
  <c r="AV130" i="10"/>
  <c r="AU130" i="10"/>
  <c r="AT130" i="10"/>
  <c r="AS130" i="10"/>
  <c r="AR130" i="10"/>
  <c r="AQ130" i="10"/>
  <c r="AO130" i="10"/>
  <c r="X130" i="10"/>
  <c r="DS129" i="10"/>
  <c r="DR129" i="10"/>
  <c r="DQ129" i="10"/>
  <c r="DP129" i="10"/>
  <c r="DO129" i="10"/>
  <c r="DN129" i="10"/>
  <c r="DM129" i="10"/>
  <c r="DL129" i="10"/>
  <c r="DK129" i="10"/>
  <c r="DJ129" i="10"/>
  <c r="DI129" i="10"/>
  <c r="DH129" i="10"/>
  <c r="DG129" i="10"/>
  <c r="DF129" i="10"/>
  <c r="DE129" i="10"/>
  <c r="DD129" i="10"/>
  <c r="DC129" i="10"/>
  <c r="DB129" i="10"/>
  <c r="DA129" i="10"/>
  <c r="CZ129" i="10"/>
  <c r="CY129" i="10"/>
  <c r="CX129" i="10"/>
  <c r="CW129" i="10"/>
  <c r="CV129" i="10"/>
  <c r="CU129" i="10"/>
  <c r="CT129" i="10"/>
  <c r="CS129" i="10"/>
  <c r="CR129" i="10"/>
  <c r="CQ129" i="10"/>
  <c r="CP129" i="10"/>
  <c r="CO129" i="10"/>
  <c r="CN129" i="10"/>
  <c r="CM129" i="10"/>
  <c r="CL129" i="10"/>
  <c r="CK129" i="10"/>
  <c r="CJ129" i="10"/>
  <c r="CI129" i="10"/>
  <c r="CH129" i="10"/>
  <c r="CG129" i="10"/>
  <c r="CF129" i="10"/>
  <c r="CE129" i="10"/>
  <c r="CD129" i="10"/>
  <c r="CC129" i="10"/>
  <c r="CB129" i="10"/>
  <c r="CA129" i="10"/>
  <c r="BZ129" i="10"/>
  <c r="BY129" i="10"/>
  <c r="BX129" i="10"/>
  <c r="BW129" i="10"/>
  <c r="BV129" i="10"/>
  <c r="BU129" i="10"/>
  <c r="BT129" i="10"/>
  <c r="BS129" i="10"/>
  <c r="BR129" i="10"/>
  <c r="BQ129" i="10"/>
  <c r="BP129" i="10"/>
  <c r="BO129" i="10"/>
  <c r="BN129" i="10"/>
  <c r="BM129" i="10"/>
  <c r="BL129" i="10"/>
  <c r="BK129" i="10"/>
  <c r="BJ129" i="10"/>
  <c r="BI129" i="10"/>
  <c r="BH129" i="10"/>
  <c r="BG129" i="10"/>
  <c r="BF129" i="10"/>
  <c r="BE129" i="10"/>
  <c r="BD129" i="10"/>
  <c r="BC129" i="10"/>
  <c r="BB129" i="10"/>
  <c r="BA129" i="10"/>
  <c r="AZ129" i="10"/>
  <c r="AY129" i="10"/>
  <c r="AX129" i="10"/>
  <c r="AW129" i="10"/>
  <c r="AV129" i="10"/>
  <c r="AU129" i="10"/>
  <c r="AT129" i="10"/>
  <c r="AS129" i="10"/>
  <c r="AR129" i="10"/>
  <c r="AQ129" i="10"/>
  <c r="AP129" i="10"/>
  <c r="AO129" i="10"/>
  <c r="AN129" i="10"/>
  <c r="DS128" i="10"/>
  <c r="DR128" i="10"/>
  <c r="DQ128" i="10"/>
  <c r="DP128" i="10"/>
  <c r="DO128" i="10"/>
  <c r="DN128" i="10"/>
  <c r="DM128" i="10"/>
  <c r="DL128" i="10"/>
  <c r="DK128" i="10"/>
  <c r="DJ128" i="10"/>
  <c r="DI128" i="10"/>
  <c r="DH128" i="10"/>
  <c r="DG128" i="10"/>
  <c r="DF128" i="10"/>
  <c r="DE128" i="10"/>
  <c r="DD128" i="10"/>
  <c r="DC128" i="10"/>
  <c r="DB128" i="10"/>
  <c r="DA128" i="10"/>
  <c r="CZ128" i="10"/>
  <c r="CY128" i="10"/>
  <c r="CX128" i="10"/>
  <c r="CW128" i="10"/>
  <c r="CV128" i="10"/>
  <c r="CU128" i="10"/>
  <c r="CT128" i="10"/>
  <c r="CS128" i="10"/>
  <c r="CR128" i="10"/>
  <c r="CQ128" i="10"/>
  <c r="CP128" i="10"/>
  <c r="CO128" i="10"/>
  <c r="CN128" i="10"/>
  <c r="CM128" i="10"/>
  <c r="CL128" i="10"/>
  <c r="CK128" i="10"/>
  <c r="CJ128" i="10"/>
  <c r="CI128" i="10"/>
  <c r="CH128" i="10"/>
  <c r="CG128" i="10"/>
  <c r="CF128" i="10"/>
  <c r="CE128" i="10"/>
  <c r="CD128" i="10"/>
  <c r="CC128" i="10"/>
  <c r="CB128" i="10"/>
  <c r="CA128" i="10"/>
  <c r="BZ128" i="10"/>
  <c r="BY128" i="10"/>
  <c r="BX128" i="10"/>
  <c r="BW128" i="10"/>
  <c r="BV128" i="10"/>
  <c r="BU128" i="10"/>
  <c r="BT128" i="10"/>
  <c r="BS128" i="10"/>
  <c r="BR128" i="10"/>
  <c r="BQ128" i="10"/>
  <c r="BP128" i="10"/>
  <c r="BO128" i="10"/>
  <c r="BN128" i="10"/>
  <c r="BM128" i="10"/>
  <c r="BL128" i="10"/>
  <c r="BK128" i="10"/>
  <c r="BJ128" i="10"/>
  <c r="BI128" i="10"/>
  <c r="BH128" i="10"/>
  <c r="BG128" i="10"/>
  <c r="BF128" i="10"/>
  <c r="BE128" i="10"/>
  <c r="BD128" i="10"/>
  <c r="BC128" i="10"/>
  <c r="BB128" i="10"/>
  <c r="BA128" i="10"/>
  <c r="AZ128" i="10"/>
  <c r="AY128" i="10"/>
  <c r="AX128" i="10"/>
  <c r="AW128" i="10"/>
  <c r="AV128" i="10"/>
  <c r="AU128" i="10"/>
  <c r="AT128" i="10"/>
  <c r="AS128" i="10"/>
  <c r="AR128" i="10"/>
  <c r="AQ128" i="10"/>
  <c r="AP128" i="10"/>
  <c r="AO128" i="10"/>
  <c r="DT124" i="10"/>
  <c r="DS117" i="10"/>
  <c r="DS125" i="10" s="1"/>
  <c r="DR117" i="10"/>
  <c r="DR125" i="10" s="1"/>
  <c r="DQ117" i="10"/>
  <c r="DQ125" i="10" s="1"/>
  <c r="DP117" i="10"/>
  <c r="DP125" i="10" s="1"/>
  <c r="DO117" i="10"/>
  <c r="DO125" i="10" s="1"/>
  <c r="DN117" i="10"/>
  <c r="DN125" i="10" s="1"/>
  <c r="DM117" i="10"/>
  <c r="DM125" i="10" s="1"/>
  <c r="DL117" i="10"/>
  <c r="DL125" i="10" s="1"/>
  <c r="DK117" i="10"/>
  <c r="DK125" i="10" s="1"/>
  <c r="DJ117" i="10"/>
  <c r="DJ125" i="10" s="1"/>
  <c r="DI117" i="10"/>
  <c r="DI125" i="10" s="1"/>
  <c r="DH117" i="10"/>
  <c r="DH125" i="10" s="1"/>
  <c r="DG117" i="10"/>
  <c r="DG125" i="10" s="1"/>
  <c r="DF117" i="10"/>
  <c r="DF125" i="10" s="1"/>
  <c r="DE117" i="10"/>
  <c r="DE125" i="10" s="1"/>
  <c r="DD117" i="10"/>
  <c r="DD125" i="10" s="1"/>
  <c r="DC117" i="10"/>
  <c r="DC125" i="10" s="1"/>
  <c r="DB117" i="10"/>
  <c r="DB125" i="10" s="1"/>
  <c r="DA117" i="10"/>
  <c r="DA125" i="10" s="1"/>
  <c r="CZ117" i="10"/>
  <c r="CZ125" i="10" s="1"/>
  <c r="CY117" i="10"/>
  <c r="CY125" i="10" s="1"/>
  <c r="CX117" i="10"/>
  <c r="CX125" i="10" s="1"/>
  <c r="CW117" i="10"/>
  <c r="CW125" i="10" s="1"/>
  <c r="CV117" i="10"/>
  <c r="CV125" i="10" s="1"/>
  <c r="CU117" i="10"/>
  <c r="CU125" i="10" s="1"/>
  <c r="CT117" i="10"/>
  <c r="CT125" i="10" s="1"/>
  <c r="CS117" i="10"/>
  <c r="CS125" i="10" s="1"/>
  <c r="CR117" i="10"/>
  <c r="CR125" i="10" s="1"/>
  <c r="CQ117" i="10"/>
  <c r="CQ125" i="10" s="1"/>
  <c r="CP117" i="10"/>
  <c r="CP125" i="10" s="1"/>
  <c r="CO117" i="10"/>
  <c r="CO125" i="10" s="1"/>
  <c r="CN117" i="10"/>
  <c r="CN125" i="10" s="1"/>
  <c r="CM117" i="10"/>
  <c r="CM125" i="10" s="1"/>
  <c r="CL117" i="10"/>
  <c r="CL125" i="10" s="1"/>
  <c r="CK117" i="10"/>
  <c r="CK125" i="10" s="1"/>
  <c r="CJ117" i="10"/>
  <c r="CJ125" i="10" s="1"/>
  <c r="CI117" i="10"/>
  <c r="CI125" i="10" s="1"/>
  <c r="CH117" i="10"/>
  <c r="CH125" i="10" s="1"/>
  <c r="CG117" i="10"/>
  <c r="CG125" i="10" s="1"/>
  <c r="CF117" i="10"/>
  <c r="CF125" i="10" s="1"/>
  <c r="CE117" i="10"/>
  <c r="CE125" i="10" s="1"/>
  <c r="CD117" i="10"/>
  <c r="CD125" i="10" s="1"/>
  <c r="CC117" i="10"/>
  <c r="CC125" i="10" s="1"/>
  <c r="CB117" i="10"/>
  <c r="CB125" i="10" s="1"/>
  <c r="CA117" i="10"/>
  <c r="CA125" i="10" s="1"/>
  <c r="BZ117" i="10"/>
  <c r="BZ125" i="10" s="1"/>
  <c r="BY117" i="10"/>
  <c r="BY125" i="10" s="1"/>
  <c r="BX117" i="10"/>
  <c r="BX125" i="10" s="1"/>
  <c r="BW117" i="10"/>
  <c r="BW125" i="10" s="1"/>
  <c r="BV117" i="10"/>
  <c r="BV125" i="10" s="1"/>
  <c r="BU117" i="10"/>
  <c r="BD30" i="11" s="1"/>
  <c r="BT117" i="10"/>
  <c r="BC30" i="11" s="1"/>
  <c r="BS117" i="10"/>
  <c r="BB30" i="11" s="1"/>
  <c r="BR117" i="10"/>
  <c r="BA30" i="11" s="1"/>
  <c r="BQ117" i="10"/>
  <c r="AZ30" i="11" s="1"/>
  <c r="BP117" i="10"/>
  <c r="AY30" i="11" s="1"/>
  <c r="BO117" i="10"/>
  <c r="AX30" i="11" s="1"/>
  <c r="BN117" i="10"/>
  <c r="AW30" i="11" s="1"/>
  <c r="BM117" i="10"/>
  <c r="AV30" i="11" s="1"/>
  <c r="BL117" i="10"/>
  <c r="AU30" i="11" s="1"/>
  <c r="BK117" i="10"/>
  <c r="AT30" i="11" s="1"/>
  <c r="BJ117" i="10"/>
  <c r="AS30" i="11" s="1"/>
  <c r="BI117" i="10"/>
  <c r="AR30" i="11" s="1"/>
  <c r="BH117" i="10"/>
  <c r="AQ30" i="11" s="1"/>
  <c r="BG117" i="10"/>
  <c r="AP30" i="11" s="1"/>
  <c r="BF117" i="10"/>
  <c r="AO30" i="11" s="1"/>
  <c r="BE117" i="10"/>
  <c r="AN30" i="11" s="1"/>
  <c r="BD117" i="10"/>
  <c r="AM30" i="11" s="1"/>
  <c r="BC117" i="10"/>
  <c r="AL30" i="11" s="1"/>
  <c r="BB117" i="10"/>
  <c r="AK30" i="11" s="1"/>
  <c r="BA117" i="10"/>
  <c r="AJ30" i="11" s="1"/>
  <c r="AS117" i="10"/>
  <c r="AB30" i="11" s="1"/>
  <c r="AR117" i="10"/>
  <c r="AA30" i="11" s="1"/>
  <c r="M117" i="10"/>
  <c r="N116" i="10"/>
  <c r="H116" i="10"/>
  <c r="F116" i="10"/>
  <c r="C173" i="6" s="1"/>
  <c r="E116" i="10"/>
  <c r="AW115" i="10"/>
  <c r="AX115" i="10" s="1"/>
  <c r="AY115" i="10" s="1"/>
  <c r="AZ115" i="10" s="1"/>
  <c r="BA12" i="10" s="1"/>
  <c r="N115" i="10"/>
  <c r="H115" i="10"/>
  <c r="F115" i="10"/>
  <c r="E115" i="10"/>
  <c r="N114" i="10"/>
  <c r="H114" i="10"/>
  <c r="F114" i="10"/>
  <c r="E114" i="10"/>
  <c r="AU113" i="10"/>
  <c r="AU131" i="10" s="1"/>
  <c r="AT113" i="10"/>
  <c r="AT131" i="10" s="1"/>
  <c r="N113" i="10"/>
  <c r="H113" i="10"/>
  <c r="F113" i="10"/>
  <c r="E113" i="10"/>
  <c r="N112" i="10"/>
  <c r="H112" i="10"/>
  <c r="F112" i="10"/>
  <c r="E112" i="10"/>
  <c r="N111" i="10"/>
  <c r="H111" i="10"/>
  <c r="F111" i="10"/>
  <c r="E111" i="10"/>
  <c r="N110" i="10"/>
  <c r="H110" i="10"/>
  <c r="F110" i="10"/>
  <c r="E110" i="10"/>
  <c r="N109" i="10"/>
  <c r="H109" i="10"/>
  <c r="F109" i="10"/>
  <c r="E109" i="10"/>
  <c r="N108" i="10"/>
  <c r="H108" i="10"/>
  <c r="F108" i="10"/>
  <c r="E108" i="10"/>
  <c r="N107" i="10"/>
  <c r="H107" i="10"/>
  <c r="F107" i="10"/>
  <c r="E107" i="10"/>
  <c r="N106" i="10"/>
  <c r="H106" i="10"/>
  <c r="F106" i="10"/>
  <c r="E106" i="10"/>
  <c r="N105" i="10"/>
  <c r="H105" i="10"/>
  <c r="F105" i="10"/>
  <c r="E105" i="10"/>
  <c r="N104" i="10"/>
  <c r="H104" i="10"/>
  <c r="F104" i="10"/>
  <c r="E104" i="10"/>
  <c r="N103" i="10"/>
  <c r="H103" i="10"/>
  <c r="F103" i="10"/>
  <c r="E103" i="10"/>
  <c r="N102" i="10"/>
  <c r="H102" i="10"/>
  <c r="F102" i="10"/>
  <c r="E102" i="10"/>
  <c r="N101" i="10"/>
  <c r="H101" i="10"/>
  <c r="F101" i="10"/>
  <c r="E101" i="10"/>
  <c r="N100" i="10"/>
  <c r="H100" i="10"/>
  <c r="F100" i="10"/>
  <c r="E100" i="10"/>
  <c r="N99" i="10"/>
  <c r="H99" i="10"/>
  <c r="F99" i="10"/>
  <c r="E99" i="10"/>
  <c r="N98" i="10"/>
  <c r="H98" i="10"/>
  <c r="F98" i="10"/>
  <c r="E98" i="10"/>
  <c r="N97" i="10"/>
  <c r="H97" i="10"/>
  <c r="F97" i="10"/>
  <c r="E97" i="10"/>
  <c r="N96" i="10"/>
  <c r="H96" i="10"/>
  <c r="F96" i="10"/>
  <c r="E96" i="10"/>
  <c r="N95" i="10"/>
  <c r="H95" i="10"/>
  <c r="F95" i="10"/>
  <c r="E95" i="10"/>
  <c r="N94" i="10"/>
  <c r="H94" i="10"/>
  <c r="F94" i="10"/>
  <c r="E94" i="10"/>
  <c r="N93" i="10"/>
  <c r="H93" i="10"/>
  <c r="F93" i="10"/>
  <c r="E93" i="10"/>
  <c r="N92" i="10"/>
  <c r="H92" i="10"/>
  <c r="F92" i="10"/>
  <c r="E92" i="10"/>
  <c r="N91" i="10"/>
  <c r="H91" i="10"/>
  <c r="F91" i="10"/>
  <c r="E91" i="10"/>
  <c r="N90" i="10"/>
  <c r="H90" i="10"/>
  <c r="F90" i="10"/>
  <c r="E90" i="10"/>
  <c r="N89" i="10"/>
  <c r="H89" i="10"/>
  <c r="F89" i="10"/>
  <c r="E89" i="10"/>
  <c r="N88" i="10"/>
  <c r="H88" i="10"/>
  <c r="F88" i="10"/>
  <c r="E88" i="10"/>
  <c r="N87" i="10"/>
  <c r="H87" i="10"/>
  <c r="F87" i="10"/>
  <c r="E87" i="10"/>
  <c r="N86" i="10"/>
  <c r="H86" i="10"/>
  <c r="F86" i="10"/>
  <c r="E86" i="10"/>
  <c r="N85" i="10"/>
  <c r="H85" i="10"/>
  <c r="F85" i="10"/>
  <c r="E85" i="10"/>
  <c r="N84" i="10"/>
  <c r="H84" i="10"/>
  <c r="F84" i="10"/>
  <c r="E84" i="10"/>
  <c r="N83" i="10"/>
  <c r="H83" i="10"/>
  <c r="F83" i="10"/>
  <c r="E83" i="10"/>
  <c r="N82" i="10"/>
  <c r="H82" i="10"/>
  <c r="F82" i="10"/>
  <c r="E82" i="10"/>
  <c r="N81" i="10"/>
  <c r="H81" i="10"/>
  <c r="F81" i="10"/>
  <c r="E81" i="10"/>
  <c r="N80" i="10"/>
  <c r="H80" i="10"/>
  <c r="F80" i="10"/>
  <c r="E80" i="10"/>
  <c r="N79" i="10"/>
  <c r="H79" i="10"/>
  <c r="F79" i="10"/>
  <c r="E79" i="10"/>
  <c r="N78" i="10"/>
  <c r="H78" i="10"/>
  <c r="F78" i="10"/>
  <c r="E78" i="10"/>
  <c r="AI77" i="10"/>
  <c r="AJ77" i="10" s="1"/>
  <c r="N77" i="10"/>
  <c r="H77" i="10"/>
  <c r="F77" i="10"/>
  <c r="E77" i="10"/>
  <c r="N76" i="10"/>
  <c r="H76" i="10"/>
  <c r="F76" i="10"/>
  <c r="E76" i="10"/>
  <c r="N75" i="10"/>
  <c r="H75" i="10"/>
  <c r="F75" i="10"/>
  <c r="E75" i="10"/>
  <c r="N74" i="10"/>
  <c r="H74" i="10"/>
  <c r="F74" i="10"/>
  <c r="E74" i="10"/>
  <c r="N73" i="10"/>
  <c r="H73" i="10"/>
  <c r="F73" i="10"/>
  <c r="E73" i="10"/>
  <c r="N72" i="10"/>
  <c r="H72" i="10"/>
  <c r="F72" i="10"/>
  <c r="E72" i="10"/>
  <c r="N71" i="10"/>
  <c r="H71" i="10"/>
  <c r="F71" i="10"/>
  <c r="E71" i="10"/>
  <c r="N70" i="10"/>
  <c r="H70" i="10"/>
  <c r="F70" i="10"/>
  <c r="E70" i="10"/>
  <c r="G69" i="10"/>
  <c r="AP62" i="10"/>
  <c r="AQ11" i="10" s="1"/>
  <c r="N51" i="10"/>
  <c r="N68" i="10" s="1"/>
  <c r="N50" i="10"/>
  <c r="H50" i="10"/>
  <c r="E50" i="10"/>
  <c r="N49" i="10"/>
  <c r="H49" i="10"/>
  <c r="E49" i="10"/>
  <c r="N48" i="10"/>
  <c r="H48" i="10"/>
  <c r="E48" i="10"/>
  <c r="N47" i="10"/>
  <c r="H47" i="10"/>
  <c r="E47" i="10"/>
  <c r="N46" i="10"/>
  <c r="H46" i="10"/>
  <c r="E46" i="10"/>
  <c r="N45" i="10"/>
  <c r="H45" i="10"/>
  <c r="E45" i="10"/>
  <c r="N44" i="10"/>
  <c r="H44" i="10"/>
  <c r="E44" i="10"/>
  <c r="N43" i="10"/>
  <c r="H43" i="10"/>
  <c r="E43" i="10"/>
  <c r="N42" i="10"/>
  <c r="H42" i="10"/>
  <c r="E42" i="10"/>
  <c r="N41" i="10"/>
  <c r="H41" i="10"/>
  <c r="E41" i="10"/>
  <c r="N40" i="10"/>
  <c r="H40" i="10"/>
  <c r="E40" i="10"/>
  <c r="N39" i="10"/>
  <c r="H39" i="10"/>
  <c r="E39" i="10"/>
  <c r="N38" i="10"/>
  <c r="H38" i="10"/>
  <c r="E38" i="10"/>
  <c r="N37" i="10"/>
  <c r="H37" i="10"/>
  <c r="E37" i="10"/>
  <c r="N36" i="10"/>
  <c r="H36" i="10"/>
  <c r="F36" i="10"/>
  <c r="E36" i="10"/>
  <c r="G35" i="10"/>
  <c r="N34" i="10"/>
  <c r="H34" i="10"/>
  <c r="E34" i="10"/>
  <c r="N33" i="10"/>
  <c r="H33" i="10"/>
  <c r="H51" i="10" s="1"/>
  <c r="H67" i="10" s="1"/>
  <c r="F33" i="10"/>
  <c r="E33" i="10"/>
  <c r="N32" i="10"/>
  <c r="H32" i="10"/>
  <c r="F32" i="10"/>
  <c r="E32" i="10"/>
  <c r="N31" i="10"/>
  <c r="H31" i="10"/>
  <c r="F31" i="10"/>
  <c r="E31" i="10"/>
  <c r="N30" i="10"/>
  <c r="H30" i="10"/>
  <c r="F30" i="10"/>
  <c r="E30" i="10"/>
  <c r="N29" i="10"/>
  <c r="H29" i="10"/>
  <c r="F29" i="10"/>
  <c r="E29" i="10"/>
  <c r="N28" i="10"/>
  <c r="H28" i="10"/>
  <c r="F28" i="10"/>
  <c r="E28" i="10"/>
  <c r="N27" i="10"/>
  <c r="H27" i="10"/>
  <c r="F27" i="10"/>
  <c r="E27" i="10"/>
  <c r="N26" i="10"/>
  <c r="H26" i="10"/>
  <c r="F26" i="10"/>
  <c r="E26" i="10"/>
  <c r="N25" i="10"/>
  <c r="H25" i="10"/>
  <c r="F25" i="10"/>
  <c r="E25" i="10"/>
  <c r="N24" i="10"/>
  <c r="H24" i="10"/>
  <c r="F24" i="10"/>
  <c r="E24" i="10"/>
  <c r="N23" i="10"/>
  <c r="H23" i="10"/>
  <c r="F23" i="10"/>
  <c r="E23" i="10"/>
  <c r="N22" i="10"/>
  <c r="H22" i="10"/>
  <c r="F22" i="10"/>
  <c r="E22" i="10"/>
  <c r="N21" i="10"/>
  <c r="H21" i="10"/>
  <c r="F21" i="10"/>
  <c r="E21" i="10"/>
  <c r="N20" i="10"/>
  <c r="H20" i="10"/>
  <c r="F20" i="10"/>
  <c r="E20" i="10"/>
  <c r="N19" i="10"/>
  <c r="H19" i="10"/>
  <c r="F19" i="10"/>
  <c r="E19" i="10"/>
  <c r="N18" i="10"/>
  <c r="H18" i="10"/>
  <c r="F18" i="10"/>
  <c r="E18" i="10"/>
  <c r="I17" i="10"/>
  <c r="G17" i="10"/>
  <c r="DT13" i="10"/>
  <c r="DS12" i="10"/>
  <c r="DR12" i="10"/>
  <c r="DQ12" i="10"/>
  <c r="DP12" i="10"/>
  <c r="DO12" i="10"/>
  <c r="DN12" i="10"/>
  <c r="DM12" i="10"/>
  <c r="DL12" i="10"/>
  <c r="DK12" i="10"/>
  <c r="DJ12" i="10"/>
  <c r="DI12" i="10"/>
  <c r="DH12" i="10"/>
  <c r="DG12" i="10"/>
  <c r="DF12" i="10"/>
  <c r="DE12" i="10"/>
  <c r="DD12" i="10"/>
  <c r="DC12" i="10"/>
  <c r="DB12" i="10"/>
  <c r="DA12" i="10"/>
  <c r="CZ12" i="10"/>
  <c r="CY12" i="10"/>
  <c r="CX12" i="10"/>
  <c r="CW12" i="10"/>
  <c r="CV12" i="10"/>
  <c r="CU12" i="10"/>
  <c r="CT12" i="10"/>
  <c r="CS12" i="10"/>
  <c r="CR12" i="10"/>
  <c r="CQ12" i="10"/>
  <c r="CP12" i="10"/>
  <c r="CO12" i="10"/>
  <c r="CN12" i="10"/>
  <c r="CM12" i="10"/>
  <c r="CL12" i="10"/>
  <c r="CK12" i="10"/>
  <c r="CJ12" i="10"/>
  <c r="CI12" i="10"/>
  <c r="CH12" i="10"/>
  <c r="CG12" i="10"/>
  <c r="CF12" i="10"/>
  <c r="CE12" i="10"/>
  <c r="CD12" i="10"/>
  <c r="CC12" i="10"/>
  <c r="CB12" i="10"/>
  <c r="CA12" i="10"/>
  <c r="BZ12" i="10"/>
  <c r="BY12" i="10"/>
  <c r="BX12" i="10"/>
  <c r="BW12" i="10"/>
  <c r="BV12" i="10"/>
  <c r="BU12" i="10"/>
  <c r="BT12" i="10"/>
  <c r="BS12" i="10"/>
  <c r="BR12" i="10"/>
  <c r="BQ12" i="10"/>
  <c r="BP12" i="10"/>
  <c r="BO12" i="10"/>
  <c r="BN12" i="10"/>
  <c r="BM12" i="10"/>
  <c r="BL12" i="10"/>
  <c r="BK12" i="10"/>
  <c r="BJ12" i="10"/>
  <c r="BI12" i="10"/>
  <c r="BH12" i="10"/>
  <c r="BG12" i="10"/>
  <c r="BF12" i="10"/>
  <c r="BE12" i="10"/>
  <c r="BD12" i="10"/>
  <c r="BC12" i="10"/>
  <c r="BB12" i="10"/>
  <c r="AS12" i="10"/>
  <c r="X12" i="10"/>
  <c r="DS11" i="10"/>
  <c r="DR11" i="10"/>
  <c r="DQ11" i="10"/>
  <c r="DP11" i="10"/>
  <c r="DO11" i="10"/>
  <c r="DN11" i="10"/>
  <c r="DM11" i="10"/>
  <c r="DL11" i="10"/>
  <c r="DK11" i="10"/>
  <c r="DJ11" i="10"/>
  <c r="DI11" i="10"/>
  <c r="DH11" i="10"/>
  <c r="DG11" i="10"/>
  <c r="DF11" i="10"/>
  <c r="DE11" i="10"/>
  <c r="DD11" i="10"/>
  <c r="DC11" i="10"/>
  <c r="DB11" i="10"/>
  <c r="DA11" i="10"/>
  <c r="CZ11" i="10"/>
  <c r="CY11" i="10"/>
  <c r="CX11" i="10"/>
  <c r="CW11" i="10"/>
  <c r="CV11" i="10"/>
  <c r="CU11" i="10"/>
  <c r="CT11" i="10"/>
  <c r="CS11" i="10"/>
  <c r="CR11" i="10"/>
  <c r="CQ11" i="10"/>
  <c r="CP11" i="10"/>
  <c r="CO11" i="10"/>
  <c r="CN11" i="10"/>
  <c r="CM11" i="10"/>
  <c r="CL11" i="10"/>
  <c r="CK11" i="10"/>
  <c r="CJ11" i="10"/>
  <c r="CI11" i="10"/>
  <c r="CH11" i="10"/>
  <c r="CG11" i="10"/>
  <c r="CF11" i="10"/>
  <c r="CE11" i="10"/>
  <c r="CD11" i="10"/>
  <c r="CC11" i="10"/>
  <c r="CB11" i="10"/>
  <c r="CA11" i="10"/>
  <c r="BZ11" i="10"/>
  <c r="BY11" i="10"/>
  <c r="BX11" i="10"/>
  <c r="BW11" i="10"/>
  <c r="BV11" i="10"/>
  <c r="BU11" i="10"/>
  <c r="BT11" i="10"/>
  <c r="BS11" i="10"/>
  <c r="BR11" i="10"/>
  <c r="BQ11" i="10"/>
  <c r="BP11" i="10"/>
  <c r="BO11" i="10"/>
  <c r="BN11" i="10"/>
  <c r="BM11" i="10"/>
  <c r="BL11" i="10"/>
  <c r="BK11" i="10"/>
  <c r="BJ11" i="10"/>
  <c r="BI11" i="10"/>
  <c r="BH11" i="10"/>
  <c r="BG11" i="10"/>
  <c r="BF11" i="10"/>
  <c r="BE11" i="10"/>
  <c r="BD11" i="10"/>
  <c r="BC11" i="10"/>
  <c r="BB11" i="10"/>
  <c r="BA11" i="10"/>
  <c r="AZ11" i="10"/>
  <c r="AY11" i="10"/>
  <c r="AX11" i="10"/>
  <c r="AW11" i="10"/>
  <c r="AV11" i="10"/>
  <c r="AU11" i="10"/>
  <c r="AT11" i="10"/>
  <c r="AS11" i="10"/>
  <c r="AR11" i="10"/>
  <c r="X11" i="10"/>
  <c r="DS10" i="10"/>
  <c r="DR10" i="10"/>
  <c r="DQ10" i="10"/>
  <c r="DP10" i="10"/>
  <c r="DO10" i="10"/>
  <c r="DN10" i="10"/>
  <c r="DM10" i="10"/>
  <c r="DL10" i="10"/>
  <c r="DK10" i="10"/>
  <c r="DJ10" i="10"/>
  <c r="DI10" i="10"/>
  <c r="DH10" i="10"/>
  <c r="DG10" i="10"/>
  <c r="DF10" i="10"/>
  <c r="DE10" i="10"/>
  <c r="DD10" i="10"/>
  <c r="DC10" i="10"/>
  <c r="DB10" i="10"/>
  <c r="DA10" i="10"/>
  <c r="CZ10" i="10"/>
  <c r="CY10" i="10"/>
  <c r="CX10" i="10"/>
  <c r="CW10" i="10"/>
  <c r="CV10" i="10"/>
  <c r="CU10" i="10"/>
  <c r="CT10" i="10"/>
  <c r="CS10" i="10"/>
  <c r="CR10" i="10"/>
  <c r="CQ10" i="10"/>
  <c r="CP10" i="10"/>
  <c r="CO10" i="10"/>
  <c r="CN10" i="10"/>
  <c r="CM10" i="10"/>
  <c r="CL10" i="10"/>
  <c r="CK10" i="10"/>
  <c r="CJ10" i="10"/>
  <c r="CI10" i="10"/>
  <c r="CH10" i="10"/>
  <c r="CG10" i="10"/>
  <c r="CF10" i="10"/>
  <c r="CE10" i="10"/>
  <c r="CD10" i="10"/>
  <c r="CC10" i="10"/>
  <c r="CB10" i="10"/>
  <c r="CA10" i="10"/>
  <c r="BZ10" i="10"/>
  <c r="BY10" i="10"/>
  <c r="BX10" i="10"/>
  <c r="BW10" i="10"/>
  <c r="BV10" i="10"/>
  <c r="BU10" i="10"/>
  <c r="BT10" i="10"/>
  <c r="BS10" i="10"/>
  <c r="BR10" i="10"/>
  <c r="BQ10" i="10"/>
  <c r="BP10" i="10"/>
  <c r="BO10" i="10"/>
  <c r="BN10" i="10"/>
  <c r="BM10" i="10"/>
  <c r="BL10" i="10"/>
  <c r="BK10" i="10"/>
  <c r="BJ10" i="10"/>
  <c r="BI10" i="10"/>
  <c r="BH10" i="10"/>
  <c r="BG10" i="10"/>
  <c r="BF10" i="10"/>
  <c r="BE10" i="10"/>
  <c r="BD10" i="10"/>
  <c r="BC10" i="10"/>
  <c r="BB10" i="10"/>
  <c r="BA10" i="10"/>
  <c r="AZ10" i="10"/>
  <c r="AY10" i="10"/>
  <c r="AX10" i="10"/>
  <c r="AW10" i="10"/>
  <c r="AV10" i="10"/>
  <c r="AU10" i="10"/>
  <c r="AT10" i="10"/>
  <c r="AS10" i="10"/>
  <c r="AR10" i="10"/>
  <c r="AQ10" i="10"/>
  <c r="AP10" i="10"/>
  <c r="AO10" i="10"/>
  <c r="C10" i="10"/>
  <c r="C9" i="5" s="1"/>
  <c r="DS9" i="10"/>
  <c r="DR9" i="10"/>
  <c r="DQ9" i="10"/>
  <c r="DP9" i="10"/>
  <c r="DO9" i="10"/>
  <c r="DN9" i="10"/>
  <c r="DM9" i="10"/>
  <c r="DL9" i="10"/>
  <c r="DK9" i="10"/>
  <c r="DJ9" i="10"/>
  <c r="DI9" i="10"/>
  <c r="DH9" i="10"/>
  <c r="DG9" i="10"/>
  <c r="DF9" i="10"/>
  <c r="DE9" i="10"/>
  <c r="DD9" i="10"/>
  <c r="DC9" i="10"/>
  <c r="DB9" i="10"/>
  <c r="DA9" i="10"/>
  <c r="CZ9" i="10"/>
  <c r="CY9" i="10"/>
  <c r="CX9" i="10"/>
  <c r="CW9" i="10"/>
  <c r="CV9" i="10"/>
  <c r="CU9" i="10"/>
  <c r="CT9" i="10"/>
  <c r="CS9" i="10"/>
  <c r="CR9" i="10"/>
  <c r="CQ9" i="10"/>
  <c r="CP9" i="10"/>
  <c r="CO9" i="10"/>
  <c r="CN9" i="10"/>
  <c r="CM9" i="10"/>
  <c r="CL9" i="10"/>
  <c r="CK9" i="10"/>
  <c r="CJ9" i="10"/>
  <c r="CI9" i="10"/>
  <c r="CH9" i="10"/>
  <c r="CG9" i="10"/>
  <c r="CF9" i="10"/>
  <c r="CE9" i="10"/>
  <c r="CD9" i="10"/>
  <c r="CC9" i="10"/>
  <c r="CB9" i="10"/>
  <c r="CA9" i="10"/>
  <c r="BZ9" i="10"/>
  <c r="BY9" i="10"/>
  <c r="BX9" i="10"/>
  <c r="BW9" i="10"/>
  <c r="BV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BC9" i="10"/>
  <c r="BB9" i="10"/>
  <c r="BA9" i="10"/>
  <c r="AZ9" i="10"/>
  <c r="AY9" i="10"/>
  <c r="AX9" i="10"/>
  <c r="AW9" i="10"/>
  <c r="AV9" i="10"/>
  <c r="AU9" i="10"/>
  <c r="AT9" i="10"/>
  <c r="AS9" i="10"/>
  <c r="AR9" i="10"/>
  <c r="AQ9" i="10"/>
  <c r="AP9" i="10"/>
  <c r="C9" i="10"/>
  <c r="C8" i="5" s="1"/>
  <c r="C8" i="10"/>
  <c r="C7" i="5" s="1"/>
  <c r="A3" i="10"/>
  <c r="A1" i="10"/>
  <c r="C80" i="9"/>
  <c r="C76" i="9"/>
  <c r="C72" i="9"/>
  <c r="AC52" i="9"/>
  <c r="AK52" i="9" s="1"/>
  <c r="AS52" i="9" s="1"/>
  <c r="BB50" i="9"/>
  <c r="BB49" i="9"/>
  <c r="BB46" i="9"/>
  <c r="BB45" i="9"/>
  <c r="BC42" i="9"/>
  <c r="BB42" i="9"/>
  <c r="BB41" i="9"/>
  <c r="BC39" i="9"/>
  <c r="BB39" i="9"/>
  <c r="BB38" i="9"/>
  <c r="AK37" i="9"/>
  <c r="AJ37" i="9"/>
  <c r="AI37" i="9"/>
  <c r="AH37" i="9"/>
  <c r="AG37" i="9"/>
  <c r="AF37" i="9"/>
  <c r="AE37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C37" i="9"/>
  <c r="BC37" i="9" s="1"/>
  <c r="BC36" i="9"/>
  <c r="BB36" i="9"/>
  <c r="BC35" i="9"/>
  <c r="BB35" i="9"/>
  <c r="BC34" i="9"/>
  <c r="BB34" i="9"/>
  <c r="BC33" i="9"/>
  <c r="BB33" i="9"/>
  <c r="BC32" i="9"/>
  <c r="BB32" i="9"/>
  <c r="BC31" i="9"/>
  <c r="BB31" i="9"/>
  <c r="BC30" i="9"/>
  <c r="BB30" i="9"/>
  <c r="BC29" i="9"/>
  <c r="BB29" i="9"/>
  <c r="BC28" i="9"/>
  <c r="BB28" i="9"/>
  <c r="BC27" i="9"/>
  <c r="BB27" i="9"/>
  <c r="BC26" i="9"/>
  <c r="BB26" i="9"/>
  <c r="BC25" i="9"/>
  <c r="BB25" i="9"/>
  <c r="BC24" i="9"/>
  <c r="BB24" i="9"/>
  <c r="BC23" i="9"/>
  <c r="BA23" i="9"/>
  <c r="AZ23" i="9"/>
  <c r="BA36" i="11" s="1"/>
  <c r="AY23" i="9"/>
  <c r="AZ36" i="11" s="1"/>
  <c r="AX23" i="9"/>
  <c r="AY36" i="11" s="1"/>
  <c r="AW23" i="9"/>
  <c r="AX36" i="11" s="1"/>
  <c r="AV23" i="9"/>
  <c r="AW36" i="11" s="1"/>
  <c r="AU23" i="9"/>
  <c r="AV36" i="11" s="1"/>
  <c r="AT23" i="9"/>
  <c r="AU36" i="11" s="1"/>
  <c r="AS23" i="9"/>
  <c r="AT36" i="11" s="1"/>
  <c r="AR23" i="9"/>
  <c r="AS36" i="11" s="1"/>
  <c r="AQ23" i="9"/>
  <c r="AR36" i="11" s="1"/>
  <c r="AP23" i="9"/>
  <c r="AQ36" i="11" s="1"/>
  <c r="AO23" i="9"/>
  <c r="AP36" i="11" s="1"/>
  <c r="AN23" i="9"/>
  <c r="AO36" i="11" s="1"/>
  <c r="AM23" i="9"/>
  <c r="AN36" i="11" s="1"/>
  <c r="AL23" i="9"/>
  <c r="AM36" i="11" s="1"/>
  <c r="BC22" i="9"/>
  <c r="BB22" i="9"/>
  <c r="BC21" i="9"/>
  <c r="BB21" i="9"/>
  <c r="BB20" i="9"/>
  <c r="C20" i="9"/>
  <c r="C41" i="9" s="1"/>
  <c r="AS19" i="9"/>
  <c r="AR19" i="9"/>
  <c r="AQ19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BC18" i="9"/>
  <c r="BB18" i="9"/>
  <c r="BB17" i="9"/>
  <c r="C17" i="9"/>
  <c r="BC17" i="9" s="1"/>
  <c r="BC14" i="9"/>
  <c r="BB14" i="9"/>
  <c r="BB13" i="9"/>
  <c r="C13" i="9"/>
  <c r="BC13" i="9" s="1"/>
  <c r="B13" i="9"/>
  <c r="BC12" i="9"/>
  <c r="BB12" i="9"/>
  <c r="BB11" i="9"/>
  <c r="C11" i="9"/>
  <c r="BC11" i="9" s="1"/>
  <c r="B11" i="9"/>
  <c r="BC10" i="9"/>
  <c r="BB10" i="9"/>
  <c r="BB9" i="9"/>
  <c r="C9" i="9"/>
  <c r="BC9" i="9" s="1"/>
  <c r="B9" i="9"/>
  <c r="BC8" i="9"/>
  <c r="BB8" i="9"/>
  <c r="G7" i="9"/>
  <c r="H7" i="9" s="1"/>
  <c r="I7" i="9" s="1"/>
  <c r="J7" i="9" s="1"/>
  <c r="K7" i="9" s="1"/>
  <c r="L7" i="9" s="1"/>
  <c r="M7" i="9" s="1"/>
  <c r="N7" i="9" s="1"/>
  <c r="O7" i="9" s="1"/>
  <c r="P7" i="9" s="1"/>
  <c r="Q7" i="9" s="1"/>
  <c r="R7" i="9" s="1"/>
  <c r="S7" i="9" s="1"/>
  <c r="T7" i="9" s="1"/>
  <c r="U7" i="9" s="1"/>
  <c r="V7" i="9" s="1"/>
  <c r="W7" i="9" s="1"/>
  <c r="X7" i="9" s="1"/>
  <c r="Y7" i="9" s="1"/>
  <c r="Z7" i="9" s="1"/>
  <c r="AA7" i="9" s="1"/>
  <c r="AB7" i="9" s="1"/>
  <c r="AC7" i="9" s="1"/>
  <c r="AD7" i="9" s="1"/>
  <c r="AE7" i="9" s="1"/>
  <c r="AF7" i="9" s="1"/>
  <c r="AG7" i="9" s="1"/>
  <c r="AH7" i="9" s="1"/>
  <c r="AI7" i="9" s="1"/>
  <c r="AJ7" i="9" s="1"/>
  <c r="AK7" i="9" s="1"/>
  <c r="AL7" i="9" s="1"/>
  <c r="AM7" i="9" s="1"/>
  <c r="AN7" i="9" s="1"/>
  <c r="AO7" i="9" s="1"/>
  <c r="AP7" i="9" s="1"/>
  <c r="AQ7" i="9" s="1"/>
  <c r="AR7" i="9" s="1"/>
  <c r="AS7" i="9" s="1"/>
  <c r="AT7" i="9" s="1"/>
  <c r="AU7" i="9" s="1"/>
  <c r="AV7" i="9" s="1"/>
  <c r="AW7" i="9" s="1"/>
  <c r="AX7" i="9" s="1"/>
  <c r="AY7" i="9" s="1"/>
  <c r="AZ7" i="9" s="1"/>
  <c r="BA7" i="9" s="1"/>
  <c r="A3" i="9"/>
  <c r="B1" i="9"/>
  <c r="D182" i="6"/>
  <c r="F174" i="6"/>
  <c r="E174" i="6"/>
  <c r="D174" i="6"/>
  <c r="H173" i="6"/>
  <c r="A173" i="6"/>
  <c r="H172" i="6"/>
  <c r="A172" i="6"/>
  <c r="H171" i="6"/>
  <c r="A171" i="6"/>
  <c r="H170" i="6"/>
  <c r="A170" i="6"/>
  <c r="H169" i="6"/>
  <c r="A169" i="6"/>
  <c r="H168" i="6"/>
  <c r="A168" i="6"/>
  <c r="H167" i="6"/>
  <c r="A167" i="6"/>
  <c r="H166" i="6"/>
  <c r="A166" i="6"/>
  <c r="H165" i="6"/>
  <c r="A165" i="6"/>
  <c r="H164" i="6"/>
  <c r="A164" i="6"/>
  <c r="H163" i="6"/>
  <c r="A163" i="6"/>
  <c r="H162" i="6"/>
  <c r="A162" i="6"/>
  <c r="H161" i="6"/>
  <c r="A161" i="6"/>
  <c r="H160" i="6"/>
  <c r="A160" i="6"/>
  <c r="H159" i="6"/>
  <c r="A159" i="6"/>
  <c r="H158" i="6"/>
  <c r="A158" i="6"/>
  <c r="H157" i="6"/>
  <c r="A157" i="6"/>
  <c r="H156" i="6"/>
  <c r="A156" i="6"/>
  <c r="H155" i="6"/>
  <c r="A155" i="6"/>
  <c r="H154" i="6"/>
  <c r="A154" i="6"/>
  <c r="H153" i="6"/>
  <c r="A153" i="6"/>
  <c r="H152" i="6"/>
  <c r="A152" i="6"/>
  <c r="H151" i="6"/>
  <c r="A151" i="6"/>
  <c r="H150" i="6"/>
  <c r="A150" i="6"/>
  <c r="H149" i="6"/>
  <c r="A149" i="6"/>
  <c r="H148" i="6"/>
  <c r="A148" i="6"/>
  <c r="H147" i="6"/>
  <c r="A147" i="6"/>
  <c r="H146" i="6"/>
  <c r="A146" i="6"/>
  <c r="H145" i="6"/>
  <c r="A145" i="6"/>
  <c r="H144" i="6"/>
  <c r="A144" i="6"/>
  <c r="H143" i="6"/>
  <c r="A143" i="6"/>
  <c r="H142" i="6"/>
  <c r="A142" i="6"/>
  <c r="H141" i="6"/>
  <c r="A141" i="6"/>
  <c r="H140" i="6"/>
  <c r="A140" i="6"/>
  <c r="H139" i="6"/>
  <c r="A139" i="6"/>
  <c r="H138" i="6"/>
  <c r="A138" i="6"/>
  <c r="H137" i="6"/>
  <c r="A137" i="6"/>
  <c r="H136" i="6"/>
  <c r="A136" i="6"/>
  <c r="H135" i="6"/>
  <c r="A135" i="6"/>
  <c r="H134" i="6"/>
  <c r="A134" i="6"/>
  <c r="H133" i="6"/>
  <c r="A133" i="6"/>
  <c r="H132" i="6"/>
  <c r="A132" i="6"/>
  <c r="H131" i="6"/>
  <c r="A131" i="6"/>
  <c r="H130" i="6"/>
  <c r="A130" i="6"/>
  <c r="H129" i="6"/>
  <c r="A129" i="6"/>
  <c r="H128" i="6"/>
  <c r="A128" i="6"/>
  <c r="H127" i="6"/>
  <c r="A127" i="6"/>
  <c r="H126" i="6"/>
  <c r="C126" i="6"/>
  <c r="B126" i="6"/>
  <c r="A126" i="6"/>
  <c r="H125" i="6"/>
  <c r="A125" i="6"/>
  <c r="H124" i="6"/>
  <c r="A124" i="6"/>
  <c r="H123" i="6"/>
  <c r="A123" i="6"/>
  <c r="H122" i="6"/>
  <c r="A122" i="6"/>
  <c r="H121" i="6"/>
  <c r="A121" i="6"/>
  <c r="H120" i="6"/>
  <c r="A120" i="6"/>
  <c r="H119" i="6"/>
  <c r="A119" i="6"/>
  <c r="H118" i="6"/>
  <c r="A118" i="6"/>
  <c r="H117" i="6"/>
  <c r="A117" i="6"/>
  <c r="H116" i="6"/>
  <c r="A116" i="6"/>
  <c r="H115" i="6"/>
  <c r="A115" i="6"/>
  <c r="H114" i="6"/>
  <c r="A114" i="6"/>
  <c r="H113" i="6"/>
  <c r="A113" i="6"/>
  <c r="H112" i="6"/>
  <c r="A112" i="6"/>
  <c r="H111" i="6"/>
  <c r="A111" i="6"/>
  <c r="H110" i="6"/>
  <c r="A110" i="6"/>
  <c r="H109" i="6"/>
  <c r="A109" i="6"/>
  <c r="H108" i="6"/>
  <c r="A108" i="6"/>
  <c r="H107" i="6"/>
  <c r="A107" i="6"/>
  <c r="H106" i="6"/>
  <c r="A106" i="6"/>
  <c r="H105" i="6"/>
  <c r="A105" i="6"/>
  <c r="H104" i="6"/>
  <c r="A104" i="6"/>
  <c r="H103" i="6"/>
  <c r="A103" i="6"/>
  <c r="H102" i="6"/>
  <c r="A102" i="6"/>
  <c r="H101" i="6"/>
  <c r="A101" i="6"/>
  <c r="H100" i="6"/>
  <c r="A100" i="6"/>
  <c r="H99" i="6"/>
  <c r="A99" i="6"/>
  <c r="H98" i="6"/>
  <c r="A98" i="6"/>
  <c r="H97" i="6"/>
  <c r="A97" i="6"/>
  <c r="H96" i="6"/>
  <c r="A96" i="6"/>
  <c r="H95" i="6"/>
  <c r="A95" i="6"/>
  <c r="H94" i="6"/>
  <c r="A94" i="6"/>
  <c r="H93" i="6"/>
  <c r="A93" i="6"/>
  <c r="H92" i="6"/>
  <c r="C92" i="6"/>
  <c r="B92" i="6"/>
  <c r="A92" i="6"/>
  <c r="H91" i="6"/>
  <c r="A91" i="6"/>
  <c r="H90" i="6"/>
  <c r="A90" i="6"/>
  <c r="H89" i="6"/>
  <c r="A89" i="6"/>
  <c r="H88" i="6"/>
  <c r="A88" i="6"/>
  <c r="H87" i="6"/>
  <c r="A87" i="6"/>
  <c r="H86" i="6"/>
  <c r="A86" i="6"/>
  <c r="H85" i="6"/>
  <c r="A85" i="6"/>
  <c r="H84" i="6"/>
  <c r="A84" i="6"/>
  <c r="H83" i="6"/>
  <c r="A83" i="6"/>
  <c r="H82" i="6"/>
  <c r="A82" i="6"/>
  <c r="H81" i="6"/>
  <c r="A81" i="6"/>
  <c r="H80" i="6"/>
  <c r="A80" i="6"/>
  <c r="H79" i="6"/>
  <c r="A79" i="6"/>
  <c r="H78" i="6"/>
  <c r="A78" i="6"/>
  <c r="H77" i="6"/>
  <c r="A77" i="6"/>
  <c r="H76" i="6"/>
  <c r="A76" i="6"/>
  <c r="H75" i="6"/>
  <c r="A75" i="6"/>
  <c r="H74" i="6"/>
  <c r="C74" i="6"/>
  <c r="B74" i="6"/>
  <c r="A74" i="6"/>
  <c r="F73" i="6"/>
  <c r="E73" i="6"/>
  <c r="D73" i="6"/>
  <c r="F49" i="6"/>
  <c r="G18" i="6"/>
  <c r="G14" i="6"/>
  <c r="G13" i="6"/>
  <c r="G12" i="6"/>
  <c r="G11" i="6"/>
  <c r="H10" i="6"/>
  <c r="G19" i="6" s="1"/>
  <c r="B15" i="2" s="1"/>
  <c r="G9" i="6"/>
  <c r="H6" i="6"/>
  <c r="A3" i="6"/>
  <c r="C16" i="5"/>
  <c r="B3" i="5"/>
  <c r="A24" i="2"/>
  <c r="A23" i="2"/>
  <c r="B19" i="2"/>
  <c r="C75" i="6" l="1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F51" i="10"/>
  <c r="F62" i="10" s="1"/>
  <c r="C93" i="6"/>
  <c r="B95" i="6"/>
  <c r="B97" i="6"/>
  <c r="B99" i="6"/>
  <c r="B101" i="6"/>
  <c r="B103" i="6"/>
  <c r="B105" i="6"/>
  <c r="B107" i="6"/>
  <c r="B127" i="6"/>
  <c r="B128" i="6"/>
  <c r="B129" i="6"/>
  <c r="B130" i="6"/>
  <c r="B131" i="6"/>
  <c r="B132" i="6"/>
  <c r="B133" i="6"/>
  <c r="B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E51" i="10"/>
  <c r="E62" i="10" s="1"/>
  <c r="B91" i="6"/>
  <c r="B93" i="6"/>
  <c r="B94" i="6"/>
  <c r="B96" i="6"/>
  <c r="B98" i="6"/>
  <c r="B100" i="6"/>
  <c r="B102" i="6"/>
  <c r="B104" i="6"/>
  <c r="B106" i="6"/>
  <c r="C127" i="6"/>
  <c r="C128" i="6"/>
  <c r="C129" i="6"/>
  <c r="C130" i="6"/>
  <c r="C131" i="6"/>
  <c r="C132" i="6"/>
  <c r="C133" i="6"/>
  <c r="C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90" i="6"/>
  <c r="H73" i="6"/>
  <c r="AT12" i="10"/>
  <c r="AT14" i="10" s="1"/>
  <c r="H174" i="6"/>
  <c r="BB19" i="9"/>
  <c r="F40" i="9"/>
  <c r="F43" i="9" s="1"/>
  <c r="F44" i="9" s="1"/>
  <c r="H40" i="9"/>
  <c r="H43" i="9" s="1"/>
  <c r="J40" i="9"/>
  <c r="J43" i="9" s="1"/>
  <c r="L40" i="9"/>
  <c r="L43" i="9" s="1"/>
  <c r="N40" i="9"/>
  <c r="N43" i="9" s="1"/>
  <c r="P40" i="9"/>
  <c r="P43" i="9" s="1"/>
  <c r="R40" i="9"/>
  <c r="R43" i="9" s="1"/>
  <c r="T40" i="9"/>
  <c r="T43" i="9" s="1"/>
  <c r="V40" i="9"/>
  <c r="V43" i="9" s="1"/>
  <c r="D10" i="10"/>
  <c r="G116" i="10"/>
  <c r="H45" i="11"/>
  <c r="H46" i="11" s="1"/>
  <c r="J45" i="11"/>
  <c r="J46" i="11" s="1"/>
  <c r="L45" i="11"/>
  <c r="L46" i="11" s="1"/>
  <c r="N45" i="11"/>
  <c r="N46" i="11" s="1"/>
  <c r="P45" i="11"/>
  <c r="P46" i="11" s="1"/>
  <c r="R45" i="11"/>
  <c r="R46" i="11" s="1"/>
  <c r="T45" i="11"/>
  <c r="T46" i="11" s="1"/>
  <c r="V45" i="11"/>
  <c r="V46" i="11" s="1"/>
  <c r="X45" i="11"/>
  <c r="X46" i="11" s="1"/>
  <c r="Z45" i="11"/>
  <c r="Z46" i="11" s="1"/>
  <c r="AB45" i="11"/>
  <c r="AB46" i="11" s="1"/>
  <c r="BE37" i="11"/>
  <c r="BI37" i="11" s="1"/>
  <c r="BE38" i="11"/>
  <c r="BI38" i="11" s="1"/>
  <c r="BE39" i="11"/>
  <c r="BI39" i="11" s="1"/>
  <c r="BE40" i="11"/>
  <c r="BI40" i="11" s="1"/>
  <c r="BE41" i="11"/>
  <c r="BI41" i="11" s="1"/>
  <c r="BE42" i="11"/>
  <c r="BI42" i="11" s="1"/>
  <c r="BE43" i="11"/>
  <c r="BI43" i="11" s="1"/>
  <c r="BE44" i="11"/>
  <c r="BI44" i="11" s="1"/>
  <c r="AP130" i="10"/>
  <c r="AP11" i="10"/>
  <c r="AR15" i="11"/>
  <c r="B173" i="6"/>
  <c r="D8" i="10"/>
  <c r="F34" i="10"/>
  <c r="C90" i="6"/>
  <c r="BB14" i="10"/>
  <c r="BD14" i="10"/>
  <c r="BF14" i="10"/>
  <c r="BH14" i="10"/>
  <c r="BJ14" i="10"/>
  <c r="BL14" i="10"/>
  <c r="BN14" i="10"/>
  <c r="BP14" i="10"/>
  <c r="BR14" i="10"/>
  <c r="BT14" i="10"/>
  <c r="BV14" i="10"/>
  <c r="BX14" i="10"/>
  <c r="BZ14" i="10"/>
  <c r="CB14" i="10"/>
  <c r="CD14" i="10"/>
  <c r="CF14" i="10"/>
  <c r="CH14" i="10"/>
  <c r="CJ14" i="10"/>
  <c r="CL14" i="10"/>
  <c r="CN14" i="10"/>
  <c r="CP14" i="10"/>
  <c r="CR14" i="10"/>
  <c r="CT14" i="10"/>
  <c r="CV14" i="10"/>
  <c r="CX14" i="10"/>
  <c r="CZ14" i="10"/>
  <c r="DB14" i="10"/>
  <c r="DD14" i="10"/>
  <c r="DF14" i="10"/>
  <c r="DH14" i="10"/>
  <c r="DJ14" i="10"/>
  <c r="DL14" i="10"/>
  <c r="DN14" i="10"/>
  <c r="DP14" i="10"/>
  <c r="DR14" i="10"/>
  <c r="G19" i="10"/>
  <c r="G22" i="10"/>
  <c r="G23" i="10"/>
  <c r="G26" i="10"/>
  <c r="G27" i="10"/>
  <c r="G30" i="10"/>
  <c r="G31" i="10"/>
  <c r="G32" i="10"/>
  <c r="G70" i="10"/>
  <c r="G73" i="10"/>
  <c r="G74" i="10"/>
  <c r="G77" i="10"/>
  <c r="G78" i="10"/>
  <c r="G82" i="10"/>
  <c r="G85" i="10"/>
  <c r="G86" i="10"/>
  <c r="G89" i="10"/>
  <c r="G90" i="10"/>
  <c r="G94" i="10"/>
  <c r="G97" i="10"/>
  <c r="G98" i="10"/>
  <c r="AM37" i="9"/>
  <c r="AQ37" i="9"/>
  <c r="C81" i="9"/>
  <c r="I115" i="10"/>
  <c r="J115" i="10" s="1"/>
  <c r="I98" i="10"/>
  <c r="J98" i="10" s="1"/>
  <c r="I94" i="10"/>
  <c r="J94" i="10" s="1"/>
  <c r="I90" i="10"/>
  <c r="J90" i="10" s="1"/>
  <c r="O90" i="10" s="1"/>
  <c r="I86" i="10"/>
  <c r="J86" i="10" s="1"/>
  <c r="I82" i="10"/>
  <c r="J82" i="10" s="1"/>
  <c r="O82" i="10" s="1"/>
  <c r="I78" i="10"/>
  <c r="I74" i="10"/>
  <c r="J74" i="10" s="1"/>
  <c r="I70" i="10"/>
  <c r="J70" i="10" s="1"/>
  <c r="I66" i="10"/>
  <c r="I59" i="10"/>
  <c r="I55" i="10"/>
  <c r="I33" i="10"/>
  <c r="J33" i="10" s="1"/>
  <c r="I21" i="10"/>
  <c r="J21" i="10" s="1"/>
  <c r="I25" i="10"/>
  <c r="I29" i="10"/>
  <c r="J29" i="10" s="1"/>
  <c r="I37" i="10"/>
  <c r="J37" i="10" s="1"/>
  <c r="I41" i="10"/>
  <c r="J41" i="10" s="1"/>
  <c r="I45" i="10"/>
  <c r="J45" i="10" s="1"/>
  <c r="I49" i="10"/>
  <c r="J49" i="10" s="1"/>
  <c r="I57" i="10"/>
  <c r="I68" i="10"/>
  <c r="I69" i="10"/>
  <c r="J69" i="10" s="1"/>
  <c r="I72" i="10"/>
  <c r="J72" i="10" s="1"/>
  <c r="J78" i="10"/>
  <c r="I84" i="10"/>
  <c r="J84" i="10" s="1"/>
  <c r="I92" i="10"/>
  <c r="J92" i="10" s="1"/>
  <c r="F23" i="13"/>
  <c r="G23" i="13" s="1"/>
  <c r="F27" i="13"/>
  <c r="G27" i="13" s="1"/>
  <c r="F31" i="13"/>
  <c r="G31" i="13" s="1"/>
  <c r="B18" i="2"/>
  <c r="B7" i="13"/>
  <c r="G40" i="9"/>
  <c r="G43" i="9" s="1"/>
  <c r="I40" i="9"/>
  <c r="I43" i="9" s="1"/>
  <c r="K40" i="9"/>
  <c r="K43" i="9" s="1"/>
  <c r="M40" i="9"/>
  <c r="M43" i="9" s="1"/>
  <c r="O40" i="9"/>
  <c r="O43" i="9" s="1"/>
  <c r="Q40" i="9"/>
  <c r="Q43" i="9" s="1"/>
  <c r="S40" i="9"/>
  <c r="S43" i="9" s="1"/>
  <c r="U40" i="9"/>
  <c r="U43" i="9" s="1"/>
  <c r="W40" i="9"/>
  <c r="W43" i="9" s="1"/>
  <c r="AO37" i="9"/>
  <c r="AS37" i="9"/>
  <c r="B81" i="9"/>
  <c r="AS14" i="10"/>
  <c r="BA14" i="10"/>
  <c r="BC14" i="10"/>
  <c r="BE14" i="10"/>
  <c r="BG14" i="10"/>
  <c r="BI14" i="10"/>
  <c r="BK14" i="10"/>
  <c r="BM14" i="10"/>
  <c r="BO14" i="10"/>
  <c r="BQ14" i="10"/>
  <c r="BS14" i="10"/>
  <c r="BU14" i="10"/>
  <c r="BW14" i="10"/>
  <c r="BY14" i="10"/>
  <c r="CA14" i="10"/>
  <c r="CC14" i="10"/>
  <c r="CE14" i="10"/>
  <c r="CG14" i="10"/>
  <c r="CI14" i="10"/>
  <c r="CK14" i="10"/>
  <c r="CM14" i="10"/>
  <c r="CO14" i="10"/>
  <c r="CQ14" i="10"/>
  <c r="CS14" i="10"/>
  <c r="CU14" i="10"/>
  <c r="CW14" i="10"/>
  <c r="CY14" i="10"/>
  <c r="DA14" i="10"/>
  <c r="DC14" i="10"/>
  <c r="DE14" i="10"/>
  <c r="DG14" i="10"/>
  <c r="DI14" i="10"/>
  <c r="DK14" i="10"/>
  <c r="DM14" i="10"/>
  <c r="DO14" i="10"/>
  <c r="DQ14" i="10"/>
  <c r="DS14" i="10"/>
  <c r="AU12" i="10"/>
  <c r="AU14" i="10" s="1"/>
  <c r="J17" i="10"/>
  <c r="O17" i="10" s="1"/>
  <c r="I19" i="10"/>
  <c r="J19" i="10" s="1"/>
  <c r="G20" i="10"/>
  <c r="G21" i="10"/>
  <c r="I23" i="10"/>
  <c r="J23" i="10" s="1"/>
  <c r="G24" i="10"/>
  <c r="G25" i="10"/>
  <c r="J25" i="10"/>
  <c r="I27" i="10"/>
  <c r="J27" i="10" s="1"/>
  <c r="G28" i="10"/>
  <c r="G29" i="10"/>
  <c r="I31" i="10"/>
  <c r="J31" i="10" s="1"/>
  <c r="I39" i="10"/>
  <c r="J39" i="10" s="1"/>
  <c r="I43" i="10"/>
  <c r="J43" i="10" s="1"/>
  <c r="I47" i="10"/>
  <c r="J47" i="10" s="1"/>
  <c r="I51" i="10"/>
  <c r="J51" i="10" s="1"/>
  <c r="I53" i="10"/>
  <c r="I61" i="10"/>
  <c r="I64" i="10"/>
  <c r="O69" i="10"/>
  <c r="I76" i="10"/>
  <c r="J76" i="10" s="1"/>
  <c r="I80" i="10"/>
  <c r="J80" i="10" s="1"/>
  <c r="I88" i="10"/>
  <c r="J88" i="10" s="1"/>
  <c r="I96" i="10"/>
  <c r="J96" i="10" s="1"/>
  <c r="F25" i="13"/>
  <c r="G25" i="13" s="1"/>
  <c r="F29" i="13"/>
  <c r="G29" i="13" s="1"/>
  <c r="F38" i="10"/>
  <c r="F40" i="10"/>
  <c r="F42" i="10"/>
  <c r="F44" i="10"/>
  <c r="F46" i="10"/>
  <c r="F48" i="10"/>
  <c r="F50" i="10"/>
  <c r="G72" i="10"/>
  <c r="G75" i="10"/>
  <c r="G76" i="10"/>
  <c r="G80" i="10"/>
  <c r="G84" i="10"/>
  <c r="G87" i="10"/>
  <c r="G88" i="10"/>
  <c r="G92" i="10"/>
  <c r="G96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D72" i="9"/>
  <c r="D76" i="9"/>
  <c r="C22" i="13"/>
  <c r="C35" i="11"/>
  <c r="F179" i="6"/>
  <c r="G10" i="6"/>
  <c r="BC41" i="9"/>
  <c r="BC44" i="9"/>
  <c r="C19" i="9"/>
  <c r="BB23" i="9"/>
  <c r="E40" i="9"/>
  <c r="G33" i="10"/>
  <c r="G36" i="10"/>
  <c r="N53" i="10"/>
  <c r="N55" i="10"/>
  <c r="N57" i="10"/>
  <c r="N59" i="10"/>
  <c r="N61" i="10"/>
  <c r="H63" i="10"/>
  <c r="N64" i="10"/>
  <c r="H65" i="10"/>
  <c r="N66" i="10"/>
  <c r="G71" i="10"/>
  <c r="G79" i="10"/>
  <c r="G81" i="10"/>
  <c r="G83" i="10"/>
  <c r="G91" i="10"/>
  <c r="G93" i="10"/>
  <c r="G95" i="10"/>
  <c r="AZ131" i="10"/>
  <c r="AZ117" i="10"/>
  <c r="BC20" i="9"/>
  <c r="AL37" i="9"/>
  <c r="AN37" i="9"/>
  <c r="AP37" i="9"/>
  <c r="AR37" i="9"/>
  <c r="C12" i="10"/>
  <c r="H68" i="10"/>
  <c r="H66" i="10"/>
  <c r="H64" i="10"/>
  <c r="H61" i="10"/>
  <c r="H59" i="10"/>
  <c r="H57" i="10"/>
  <c r="H55" i="10"/>
  <c r="H53" i="10"/>
  <c r="N67" i="10"/>
  <c r="N65" i="10"/>
  <c r="N63" i="10"/>
  <c r="N62" i="10"/>
  <c r="N60" i="10"/>
  <c r="N58" i="10"/>
  <c r="N56" i="10"/>
  <c r="N54" i="10"/>
  <c r="N52" i="10"/>
  <c r="H52" i="10"/>
  <c r="H54" i="10"/>
  <c r="H56" i="10"/>
  <c r="H58" i="10"/>
  <c r="H60" i="10"/>
  <c r="H62" i="10"/>
  <c r="I100" i="10"/>
  <c r="J100" i="10" s="1"/>
  <c r="I102" i="10"/>
  <c r="J102" i="10" s="1"/>
  <c r="I104" i="10"/>
  <c r="J104" i="10" s="1"/>
  <c r="I106" i="10"/>
  <c r="J106" i="10" s="1"/>
  <c r="I108" i="10"/>
  <c r="J108" i="10" s="1"/>
  <c r="I110" i="10"/>
  <c r="J110" i="10" s="1"/>
  <c r="I112" i="10"/>
  <c r="J112" i="10" s="1"/>
  <c r="I114" i="10"/>
  <c r="J114" i="10" s="1"/>
  <c r="I116" i="10"/>
  <c r="J116" i="10" s="1"/>
  <c r="AT117" i="10"/>
  <c r="AR125" i="10"/>
  <c r="AA57" i="11" s="1"/>
  <c r="BB125" i="10"/>
  <c r="AK57" i="11" s="1"/>
  <c r="BD125" i="10"/>
  <c r="AM57" i="11" s="1"/>
  <c r="BF125" i="10"/>
  <c r="AO57" i="11" s="1"/>
  <c r="BH125" i="10"/>
  <c r="AQ57" i="11" s="1"/>
  <c r="BJ125" i="10"/>
  <c r="AS57" i="11" s="1"/>
  <c r="BL125" i="10"/>
  <c r="AU57" i="11" s="1"/>
  <c r="BN125" i="10"/>
  <c r="AW57" i="11" s="1"/>
  <c r="BP125" i="10"/>
  <c r="AY57" i="11" s="1"/>
  <c r="BR125" i="10"/>
  <c r="BA57" i="11" s="1"/>
  <c r="BT125" i="10"/>
  <c r="BC57" i="11" s="1"/>
  <c r="BG36" i="11"/>
  <c r="BG37" i="11"/>
  <c r="BG38" i="11"/>
  <c r="BG39" i="11"/>
  <c r="BG40" i="11"/>
  <c r="BG41" i="11"/>
  <c r="BG42" i="11"/>
  <c r="BG43" i="11"/>
  <c r="BG44" i="11"/>
  <c r="G45" i="11"/>
  <c r="I45" i="11"/>
  <c r="K45" i="11"/>
  <c r="M45" i="11"/>
  <c r="O45" i="11"/>
  <c r="Q45" i="11"/>
  <c r="S45" i="11"/>
  <c r="U45" i="11"/>
  <c r="W45" i="11"/>
  <c r="Y45" i="11"/>
  <c r="AA45" i="11"/>
  <c r="G18" i="10"/>
  <c r="I18" i="10"/>
  <c r="J18" i="10" s="1"/>
  <c r="I20" i="10"/>
  <c r="J20" i="10" s="1"/>
  <c r="I22" i="10"/>
  <c r="J22" i="10" s="1"/>
  <c r="I24" i="10"/>
  <c r="J24" i="10" s="1"/>
  <c r="I26" i="10"/>
  <c r="J26" i="10" s="1"/>
  <c r="I28" i="10"/>
  <c r="J28" i="10" s="1"/>
  <c r="I30" i="10"/>
  <c r="J30" i="10" s="1"/>
  <c r="I32" i="10"/>
  <c r="J32" i="10" s="1"/>
  <c r="I34" i="10"/>
  <c r="J34" i="10" s="1"/>
  <c r="I35" i="10"/>
  <c r="J35" i="10" s="1"/>
  <c r="O35" i="10" s="1"/>
  <c r="I36" i="10"/>
  <c r="J36" i="10" s="1"/>
  <c r="F37" i="10"/>
  <c r="I38" i="10"/>
  <c r="J38" i="10" s="1"/>
  <c r="F39" i="10"/>
  <c r="I40" i="10"/>
  <c r="J40" i="10" s="1"/>
  <c r="F41" i="10"/>
  <c r="I42" i="10"/>
  <c r="J42" i="10" s="1"/>
  <c r="F43" i="10"/>
  <c r="I44" i="10"/>
  <c r="J44" i="10" s="1"/>
  <c r="F45" i="10"/>
  <c r="I46" i="10"/>
  <c r="J46" i="10" s="1"/>
  <c r="F47" i="10"/>
  <c r="I48" i="10"/>
  <c r="J48" i="10" s="1"/>
  <c r="F49" i="10"/>
  <c r="I50" i="10"/>
  <c r="J50" i="10" s="1"/>
  <c r="I52" i="10"/>
  <c r="I54" i="10"/>
  <c r="I56" i="10"/>
  <c r="I58" i="10"/>
  <c r="I60" i="10"/>
  <c r="I62" i="10"/>
  <c r="I63" i="10"/>
  <c r="I65" i="10"/>
  <c r="I67" i="10"/>
  <c r="J67" i="10" s="1"/>
  <c r="I71" i="10"/>
  <c r="J71" i="10" s="1"/>
  <c r="I73" i="10"/>
  <c r="J73" i="10" s="1"/>
  <c r="I75" i="10"/>
  <c r="J75" i="10" s="1"/>
  <c r="I77" i="10"/>
  <c r="J77" i="10" s="1"/>
  <c r="I79" i="10"/>
  <c r="J79" i="10" s="1"/>
  <c r="I81" i="10"/>
  <c r="J81" i="10" s="1"/>
  <c r="I83" i="10"/>
  <c r="J83" i="10" s="1"/>
  <c r="I85" i="10"/>
  <c r="J85" i="10" s="1"/>
  <c r="I87" i="10"/>
  <c r="J87" i="10" s="1"/>
  <c r="I89" i="10"/>
  <c r="J89" i="10" s="1"/>
  <c r="I91" i="10"/>
  <c r="J91" i="10" s="1"/>
  <c r="I93" i="10"/>
  <c r="J93" i="10" s="1"/>
  <c r="I95" i="10"/>
  <c r="J95" i="10" s="1"/>
  <c r="I97" i="10"/>
  <c r="J97" i="10" s="1"/>
  <c r="I99" i="10"/>
  <c r="J99" i="10" s="1"/>
  <c r="I101" i="10"/>
  <c r="J101" i="10" s="1"/>
  <c r="I103" i="10"/>
  <c r="J103" i="10" s="1"/>
  <c r="I105" i="10"/>
  <c r="J105" i="10" s="1"/>
  <c r="I107" i="10"/>
  <c r="J107" i="10" s="1"/>
  <c r="I109" i="10"/>
  <c r="J109" i="10" s="1"/>
  <c r="I111" i="10"/>
  <c r="J111" i="10" s="1"/>
  <c r="I113" i="10"/>
  <c r="J113" i="10" s="1"/>
  <c r="AV113" i="10"/>
  <c r="AU117" i="10"/>
  <c r="AS125" i="10"/>
  <c r="AB57" i="11" s="1"/>
  <c r="BA125" i="10"/>
  <c r="AJ57" i="11" s="1"/>
  <c r="BC125" i="10"/>
  <c r="AL57" i="11" s="1"/>
  <c r="BE125" i="10"/>
  <c r="AN57" i="11" s="1"/>
  <c r="BG125" i="10"/>
  <c r="AP57" i="11" s="1"/>
  <c r="BI125" i="10"/>
  <c r="AR57" i="11" s="1"/>
  <c r="BK125" i="10"/>
  <c r="AT57" i="11" s="1"/>
  <c r="BM125" i="10"/>
  <c r="AV57" i="11" s="1"/>
  <c r="BO125" i="10"/>
  <c r="AX57" i="11" s="1"/>
  <c r="BQ125" i="10"/>
  <c r="AZ57" i="11" s="1"/>
  <c r="BS125" i="10"/>
  <c r="BB57" i="11" s="1"/>
  <c r="BU125" i="10"/>
  <c r="BD57" i="11" s="1"/>
  <c r="D36" i="11"/>
  <c r="BE36" i="11"/>
  <c r="BI36" i="11" s="1"/>
  <c r="D37" i="11"/>
  <c r="D38" i="11"/>
  <c r="D39" i="11"/>
  <c r="D40" i="11"/>
  <c r="D41" i="11"/>
  <c r="D42" i="11"/>
  <c r="D43" i="11"/>
  <c r="D44" i="11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G24" i="13"/>
  <c r="G26" i="13"/>
  <c r="G28" i="13"/>
  <c r="G30" i="13"/>
  <c r="O31" i="10" l="1"/>
  <c r="G88" i="6" s="1"/>
  <c r="I88" i="6" s="1"/>
  <c r="O19" i="10"/>
  <c r="R19" i="10" s="1"/>
  <c r="Y19" i="10" s="1"/>
  <c r="O78" i="10"/>
  <c r="W78" i="10" s="1"/>
  <c r="AH78" i="10" s="1"/>
  <c r="O70" i="10"/>
  <c r="W70" i="10" s="1"/>
  <c r="AD70" i="10" s="1"/>
  <c r="O94" i="10"/>
  <c r="R94" i="10" s="1"/>
  <c r="AF94" i="10" s="1"/>
  <c r="F66" i="10"/>
  <c r="E64" i="10"/>
  <c r="F67" i="10"/>
  <c r="F57" i="10"/>
  <c r="E55" i="10"/>
  <c r="E54" i="10"/>
  <c r="F63" i="10"/>
  <c r="F53" i="10"/>
  <c r="F61" i="10"/>
  <c r="G51" i="10"/>
  <c r="O51" i="10" s="1"/>
  <c r="E59" i="10"/>
  <c r="E68" i="10"/>
  <c r="E58" i="10"/>
  <c r="E65" i="10"/>
  <c r="F65" i="10"/>
  <c r="C122" i="6" s="1"/>
  <c r="F55" i="10"/>
  <c r="F59" i="10"/>
  <c r="F64" i="10"/>
  <c r="F68" i="10"/>
  <c r="F60" i="10"/>
  <c r="F58" i="10"/>
  <c r="F56" i="10"/>
  <c r="F54" i="10"/>
  <c r="F52" i="10"/>
  <c r="B108" i="6"/>
  <c r="E53" i="10"/>
  <c r="E57" i="10"/>
  <c r="E61" i="10"/>
  <c r="E66" i="10"/>
  <c r="E52" i="10"/>
  <c r="E56" i="10"/>
  <c r="E60" i="10"/>
  <c r="E63" i="10"/>
  <c r="E67" i="10"/>
  <c r="C108" i="6"/>
  <c r="C101" i="6"/>
  <c r="C97" i="6"/>
  <c r="C104" i="6"/>
  <c r="C98" i="6"/>
  <c r="C107" i="6"/>
  <c r="C103" i="6"/>
  <c r="C95" i="6"/>
  <c r="G126" i="6"/>
  <c r="I126" i="6" s="1"/>
  <c r="C91" i="6"/>
  <c r="C119" i="6"/>
  <c r="O89" i="10"/>
  <c r="O85" i="10"/>
  <c r="J59" i="10"/>
  <c r="G44" i="9"/>
  <c r="H44" i="9" s="1"/>
  <c r="I44" i="9" s="1"/>
  <c r="J44" i="9" s="1"/>
  <c r="K44" i="9" s="1"/>
  <c r="L44" i="9" s="1"/>
  <c r="M44" i="9" s="1"/>
  <c r="N44" i="9" s="1"/>
  <c r="O44" i="9" s="1"/>
  <c r="P44" i="9" s="1"/>
  <c r="Q44" i="9" s="1"/>
  <c r="R44" i="9" s="1"/>
  <c r="S44" i="9" s="1"/>
  <c r="T44" i="9" s="1"/>
  <c r="U44" i="9" s="1"/>
  <c r="V44" i="9" s="1"/>
  <c r="W44" i="9" s="1"/>
  <c r="O116" i="10"/>
  <c r="O75" i="10"/>
  <c r="O28" i="10"/>
  <c r="O24" i="10"/>
  <c r="T69" i="10"/>
  <c r="Z69" i="10" s="1"/>
  <c r="AA69" i="10" s="1"/>
  <c r="J57" i="10"/>
  <c r="R69" i="10"/>
  <c r="Y69" i="10" s="1"/>
  <c r="Y12" i="10" s="1"/>
  <c r="O27" i="10"/>
  <c r="O23" i="10"/>
  <c r="O74" i="10"/>
  <c r="O98" i="10"/>
  <c r="O113" i="10"/>
  <c r="O109" i="10"/>
  <c r="O105" i="10"/>
  <c r="O101" i="10"/>
  <c r="J53" i="10"/>
  <c r="O84" i="10"/>
  <c r="O112" i="10"/>
  <c r="O108" i="10"/>
  <c r="O104" i="10"/>
  <c r="O100" i="10"/>
  <c r="C99" i="6"/>
  <c r="G42" i="10"/>
  <c r="O42" i="10" s="1"/>
  <c r="C105" i="6"/>
  <c r="G48" i="10"/>
  <c r="O48" i="10" s="1"/>
  <c r="C21" i="11"/>
  <c r="O72" i="10"/>
  <c r="O111" i="10"/>
  <c r="O107" i="10"/>
  <c r="O103" i="10"/>
  <c r="O99" i="10"/>
  <c r="O87" i="10"/>
  <c r="O32" i="10"/>
  <c r="O20" i="10"/>
  <c r="J55" i="10"/>
  <c r="J64" i="10"/>
  <c r="J68" i="10"/>
  <c r="O115" i="10"/>
  <c r="O86" i="10"/>
  <c r="G34" i="10"/>
  <c r="O34" i="10" s="1"/>
  <c r="O96" i="10"/>
  <c r="AS15" i="11"/>
  <c r="T90" i="10"/>
  <c r="AG90" i="10" s="1"/>
  <c r="W90" i="10"/>
  <c r="AK90" i="10" s="1"/>
  <c r="R90" i="10"/>
  <c r="AE90" i="10" s="1"/>
  <c r="G147" i="6"/>
  <c r="I147" i="6" s="1"/>
  <c r="P90" i="10"/>
  <c r="O97" i="10"/>
  <c r="O77" i="10"/>
  <c r="O73" i="10"/>
  <c r="O30" i="10"/>
  <c r="O26" i="10"/>
  <c r="O22" i="10"/>
  <c r="O114" i="10"/>
  <c r="O110" i="10"/>
  <c r="O106" i="10"/>
  <c r="O102" i="10"/>
  <c r="P69" i="10"/>
  <c r="W69" i="10"/>
  <c r="AE69" i="10" s="1"/>
  <c r="D9" i="10"/>
  <c r="D12" i="10" s="1"/>
  <c r="C18" i="5" s="1"/>
  <c r="J61" i="10"/>
  <c r="J66" i="10"/>
  <c r="G46" i="10"/>
  <c r="O46" i="10" s="1"/>
  <c r="G40" i="10"/>
  <c r="O40" i="10" s="1"/>
  <c r="R31" i="10"/>
  <c r="AE31" i="10" s="1"/>
  <c r="T31" i="10"/>
  <c r="AF31" i="10" s="1"/>
  <c r="AG31" i="10" s="1"/>
  <c r="AH31" i="10" s="1"/>
  <c r="T78" i="10"/>
  <c r="AF78" i="10" s="1"/>
  <c r="R78" i="10"/>
  <c r="AB78" i="10" s="1"/>
  <c r="P78" i="10"/>
  <c r="BB37" i="9"/>
  <c r="O92" i="10"/>
  <c r="O88" i="10"/>
  <c r="O80" i="10"/>
  <c r="O76" i="10"/>
  <c r="O29" i="10"/>
  <c r="O25" i="10"/>
  <c r="O21" i="10"/>
  <c r="G44" i="10"/>
  <c r="O44" i="10" s="1"/>
  <c r="G50" i="10"/>
  <c r="O50" i="10" s="1"/>
  <c r="G38" i="10"/>
  <c r="O38" i="10" s="1"/>
  <c r="R35" i="10"/>
  <c r="X35" i="10" s="1"/>
  <c r="T35" i="10"/>
  <c r="Y35" i="10" s="1"/>
  <c r="G92" i="6"/>
  <c r="I92" i="6" s="1"/>
  <c r="W35" i="10"/>
  <c r="AD35" i="10" s="1"/>
  <c r="P35" i="10"/>
  <c r="W94" i="10"/>
  <c r="AJ94" i="10" s="1"/>
  <c r="G151" i="6"/>
  <c r="I151" i="6" s="1"/>
  <c r="R82" i="10"/>
  <c r="AC82" i="10" s="1"/>
  <c r="W82" i="10"/>
  <c r="AG82" i="10" s="1"/>
  <c r="P82" i="10"/>
  <c r="G139" i="6"/>
  <c r="I139" i="6" s="1"/>
  <c r="T82" i="10"/>
  <c r="AJ33" i="11"/>
  <c r="AJ60" i="11" s="1"/>
  <c r="AD30" i="11"/>
  <c r="AU125" i="10"/>
  <c r="AD57" i="11" s="1"/>
  <c r="G49" i="10"/>
  <c r="O49" i="10" s="1"/>
  <c r="C106" i="6"/>
  <c r="G45" i="10"/>
  <c r="O45" i="10" s="1"/>
  <c r="C102" i="6"/>
  <c r="G43" i="10"/>
  <c r="O43" i="10" s="1"/>
  <c r="C100" i="6"/>
  <c r="G39" i="10"/>
  <c r="O39" i="10" s="1"/>
  <c r="C96" i="6"/>
  <c r="G37" i="10"/>
  <c r="O37" i="10" s="1"/>
  <c r="C94" i="6"/>
  <c r="BE45" i="11"/>
  <c r="AB33" i="11"/>
  <c r="AB60" i="11" s="1"/>
  <c r="J62" i="10"/>
  <c r="J58" i="10"/>
  <c r="J54" i="10"/>
  <c r="AX33" i="11"/>
  <c r="AT33" i="11"/>
  <c r="AP33" i="11"/>
  <c r="AA46" i="11"/>
  <c r="AA33" i="11" s="1"/>
  <c r="AA60" i="11" s="1"/>
  <c r="W46" i="11"/>
  <c r="S46" i="11"/>
  <c r="O46" i="11"/>
  <c r="K46" i="11"/>
  <c r="G46" i="11"/>
  <c r="O91" i="10"/>
  <c r="O79" i="10"/>
  <c r="O71" i="10"/>
  <c r="J65" i="10"/>
  <c r="J63" i="10"/>
  <c r="O36" i="10"/>
  <c r="O33" i="10"/>
  <c r="R17" i="10"/>
  <c r="W17" i="10"/>
  <c r="P17" i="10"/>
  <c r="T17" i="10"/>
  <c r="G74" i="6"/>
  <c r="BB40" i="9"/>
  <c r="E43" i="9"/>
  <c r="BA33" i="11"/>
  <c r="AW33" i="11"/>
  <c r="AS33" i="11"/>
  <c r="AO33" i="11"/>
  <c r="AO60" i="11" s="1"/>
  <c r="C40" i="9"/>
  <c r="BC19" i="9"/>
  <c r="E10" i="10"/>
  <c r="G47" i="10"/>
  <c r="O47" i="10" s="1"/>
  <c r="G62" i="10"/>
  <c r="B119" i="6"/>
  <c r="H179" i="6"/>
  <c r="D80" i="9"/>
  <c r="AL33" i="11"/>
  <c r="AL60" i="11" s="1"/>
  <c r="AV131" i="10"/>
  <c r="AV117" i="10"/>
  <c r="AW113" i="10"/>
  <c r="AW12" i="10" s="1"/>
  <c r="AW14" i="10" s="1"/>
  <c r="AV12" i="10"/>
  <c r="AV14" i="10" s="1"/>
  <c r="O18" i="10"/>
  <c r="AC30" i="11"/>
  <c r="AT125" i="10"/>
  <c r="AC57" i="11" s="1"/>
  <c r="J60" i="10"/>
  <c r="J56" i="10"/>
  <c r="J52" i="10"/>
  <c r="AZ33" i="11"/>
  <c r="AV33" i="11"/>
  <c r="AR33" i="11"/>
  <c r="AN33" i="11"/>
  <c r="AN60" i="11" s="1"/>
  <c r="AK33" i="11"/>
  <c r="AK60" i="11" s="1"/>
  <c r="Y46" i="11"/>
  <c r="U46" i="11"/>
  <c r="Q46" i="11"/>
  <c r="M46" i="11"/>
  <c r="I46" i="11"/>
  <c r="AI30" i="11"/>
  <c r="AZ125" i="10"/>
  <c r="AI57" i="11" s="1"/>
  <c r="O95" i="10"/>
  <c r="O93" i="10"/>
  <c r="O83" i="10"/>
  <c r="O81" i="10"/>
  <c r="AY33" i="11"/>
  <c r="AU33" i="11"/>
  <c r="AQ33" i="11"/>
  <c r="AM33" i="11"/>
  <c r="AM60" i="11" s="1"/>
  <c r="G41" i="10"/>
  <c r="O41" i="10" s="1"/>
  <c r="H19" i="6"/>
  <c r="G20" i="6" s="1"/>
  <c r="F35" i="11"/>
  <c r="BG35" i="11"/>
  <c r="D35" i="11"/>
  <c r="F22" i="13"/>
  <c r="T70" i="10" l="1"/>
  <c r="AA70" i="10" s="1"/>
  <c r="AB70" i="10" s="1"/>
  <c r="AC70" i="10" s="1"/>
  <c r="G76" i="6"/>
  <c r="I76" i="6" s="1"/>
  <c r="T94" i="10"/>
  <c r="AI94" i="10" s="1"/>
  <c r="P94" i="10"/>
  <c r="G135" i="6"/>
  <c r="I135" i="6" s="1"/>
  <c r="P31" i="10"/>
  <c r="W31" i="10"/>
  <c r="AI31" i="10" s="1"/>
  <c r="U31" i="10" s="1"/>
  <c r="R70" i="10"/>
  <c r="Z70" i="10" s="1"/>
  <c r="P19" i="10"/>
  <c r="P70" i="10"/>
  <c r="W19" i="10"/>
  <c r="AC19" i="10" s="1"/>
  <c r="G127" i="6"/>
  <c r="I127" i="6" s="1"/>
  <c r="T19" i="10"/>
  <c r="Z19" i="10" s="1"/>
  <c r="AA19" i="10" s="1"/>
  <c r="AB19" i="10" s="1"/>
  <c r="DT19" i="10" s="1"/>
  <c r="DU19" i="10" s="1"/>
  <c r="C123" i="6"/>
  <c r="T85" i="10"/>
  <c r="AE85" i="10" s="1"/>
  <c r="G66" i="10"/>
  <c r="O66" i="10" s="1"/>
  <c r="C111" i="6"/>
  <c r="C115" i="6"/>
  <c r="C125" i="6"/>
  <c r="C116" i="6"/>
  <c r="C124" i="6"/>
  <c r="C109" i="6"/>
  <c r="C113" i="6"/>
  <c r="C117" i="6"/>
  <c r="C121" i="6"/>
  <c r="C112" i="6"/>
  <c r="B125" i="6"/>
  <c r="C110" i="6"/>
  <c r="C114" i="6"/>
  <c r="G63" i="10"/>
  <c r="O63" i="10" s="1"/>
  <c r="G58" i="10"/>
  <c r="O58" i="10" s="1"/>
  <c r="B116" i="6"/>
  <c r="G53" i="10"/>
  <c r="O53" i="10" s="1"/>
  <c r="B111" i="6"/>
  <c r="B121" i="6"/>
  <c r="B113" i="6"/>
  <c r="B114" i="6"/>
  <c r="G65" i="10"/>
  <c r="O65" i="10" s="1"/>
  <c r="B112" i="6"/>
  <c r="B124" i="6"/>
  <c r="B117" i="6"/>
  <c r="B109" i="6"/>
  <c r="B122" i="6"/>
  <c r="G54" i="10"/>
  <c r="O54" i="10" s="1"/>
  <c r="C118" i="6"/>
  <c r="C120" i="6"/>
  <c r="G61" i="10"/>
  <c r="O61" i="10" s="1"/>
  <c r="B115" i="6"/>
  <c r="G59" i="10"/>
  <c r="O59" i="10" s="1"/>
  <c r="B120" i="6"/>
  <c r="B123" i="6"/>
  <c r="G57" i="10"/>
  <c r="O57" i="10" s="1"/>
  <c r="G68" i="10"/>
  <c r="O68" i="10" s="1"/>
  <c r="G67" i="10"/>
  <c r="O67" i="10" s="1"/>
  <c r="G60" i="10"/>
  <c r="O60" i="10" s="1"/>
  <c r="G56" i="10"/>
  <c r="O56" i="10" s="1"/>
  <c r="G52" i="10"/>
  <c r="O52" i="10" s="1"/>
  <c r="B118" i="6"/>
  <c r="B110" i="6"/>
  <c r="G64" i="10"/>
  <c r="O64" i="10" s="1"/>
  <c r="G55" i="10"/>
  <c r="O55" i="10" s="1"/>
  <c r="E117" i="10"/>
  <c r="W50" i="10"/>
  <c r="AN50" i="10" s="1"/>
  <c r="AN128" i="10" s="1"/>
  <c r="W106" i="10"/>
  <c r="AM106" i="10" s="1"/>
  <c r="W114" i="10"/>
  <c r="AQ114" i="10" s="1"/>
  <c r="AQ131" i="10" s="1"/>
  <c r="T26" i="10"/>
  <c r="AD26" i="10" s="1"/>
  <c r="AE26" i="10" s="1"/>
  <c r="AF26" i="10" s="1"/>
  <c r="AG26" i="10" s="1"/>
  <c r="AH26" i="10" s="1"/>
  <c r="W73" i="10"/>
  <c r="AE73" i="10" s="1"/>
  <c r="W97" i="10"/>
  <c r="AK97" i="10" s="1"/>
  <c r="R86" i="10"/>
  <c r="AD86" i="10" s="1"/>
  <c r="W32" i="10"/>
  <c r="AL32" i="10" s="1"/>
  <c r="T99" i="10"/>
  <c r="AM99" i="10" s="1"/>
  <c r="T107" i="10"/>
  <c r="AJ107" i="10" s="1"/>
  <c r="W72" i="10"/>
  <c r="AG72" i="10" s="1"/>
  <c r="W104" i="10"/>
  <c r="AK104" i="10" s="1"/>
  <c r="W112" i="10"/>
  <c r="AN112" i="10" s="1"/>
  <c r="W84" i="10"/>
  <c r="AJ84" i="10" s="1"/>
  <c r="W105" i="10"/>
  <c r="AO105" i="10" s="1"/>
  <c r="W113" i="10"/>
  <c r="AM113" i="10" s="1"/>
  <c r="W74" i="10"/>
  <c r="AC74" i="10" s="1"/>
  <c r="G80" i="6"/>
  <c r="I80" i="6" s="1"/>
  <c r="T28" i="10"/>
  <c r="AE28" i="10" s="1"/>
  <c r="AF28" i="10" s="1"/>
  <c r="AG28" i="10" s="1"/>
  <c r="AH28" i="10" s="1"/>
  <c r="AI28" i="10" s="1"/>
  <c r="W85" i="10"/>
  <c r="AH85" i="10" s="1"/>
  <c r="W102" i="10"/>
  <c r="AN102" i="10" s="1"/>
  <c r="R110" i="10"/>
  <c r="AJ110" i="10" s="1"/>
  <c r="T22" i="10"/>
  <c r="AB22" i="10" s="1"/>
  <c r="AC22" i="10" s="1"/>
  <c r="AD22" i="10" s="1"/>
  <c r="AE22" i="10" s="1"/>
  <c r="AF22" i="10" s="1"/>
  <c r="W30" i="10"/>
  <c r="AK30" i="10" s="1"/>
  <c r="W77" i="10"/>
  <c r="AD77" i="10" s="1"/>
  <c r="R96" i="10"/>
  <c r="AG96" i="10" s="1"/>
  <c r="T115" i="10"/>
  <c r="AL115" i="10" s="1"/>
  <c r="W20" i="10"/>
  <c r="AF20" i="10" s="1"/>
  <c r="T87" i="10"/>
  <c r="AH87" i="10" s="1"/>
  <c r="T103" i="10"/>
  <c r="AK103" i="10" s="1"/>
  <c r="T111" i="10"/>
  <c r="AM111" i="10" s="1"/>
  <c r="W100" i="10"/>
  <c r="AL100" i="10" s="1"/>
  <c r="W108" i="10"/>
  <c r="AO108" i="10" s="1"/>
  <c r="W101" i="10"/>
  <c r="AJ101" i="10" s="1"/>
  <c r="W109" i="10"/>
  <c r="AN109" i="10" s="1"/>
  <c r="R98" i="10"/>
  <c r="AG98" i="10" s="1"/>
  <c r="G84" i="6"/>
  <c r="I84" i="6" s="1"/>
  <c r="T24" i="10"/>
  <c r="AC24" i="10" s="1"/>
  <c r="AD24" i="10" s="1"/>
  <c r="AE24" i="10" s="1"/>
  <c r="AF24" i="10" s="1"/>
  <c r="AG24" i="10" s="1"/>
  <c r="T75" i="10"/>
  <c r="AG75" i="10" s="1"/>
  <c r="R116" i="10"/>
  <c r="AL116" i="10" s="1"/>
  <c r="T89" i="10"/>
  <c r="AF89" i="10" s="1"/>
  <c r="W89" i="10"/>
  <c r="AG89" i="10" s="1"/>
  <c r="G146" i="6"/>
  <c r="I146" i="6" s="1"/>
  <c r="P89" i="10"/>
  <c r="T104" i="10"/>
  <c r="AJ104" i="10" s="1"/>
  <c r="P28" i="10"/>
  <c r="W86" i="10"/>
  <c r="AF86" i="10" s="1"/>
  <c r="P110" i="10"/>
  <c r="R85" i="10"/>
  <c r="AD85" i="10" s="1"/>
  <c r="P74" i="10"/>
  <c r="W87" i="10"/>
  <c r="AK87" i="10" s="1"/>
  <c r="P116" i="10"/>
  <c r="R89" i="10"/>
  <c r="AE89" i="10" s="1"/>
  <c r="T101" i="10"/>
  <c r="AI101" i="10" s="1"/>
  <c r="T23" i="10"/>
  <c r="AB23" i="10" s="1"/>
  <c r="AC23" i="10" s="1"/>
  <c r="AD23" i="10" s="1"/>
  <c r="P24" i="10"/>
  <c r="G132" i="6"/>
  <c r="I132" i="6" s="1"/>
  <c r="G142" i="6"/>
  <c r="I142" i="6" s="1"/>
  <c r="P85" i="10"/>
  <c r="W111" i="10"/>
  <c r="AP111" i="10" s="1"/>
  <c r="G153" i="6"/>
  <c r="I153" i="6" s="1"/>
  <c r="W116" i="10"/>
  <c r="AO116" i="10" s="1"/>
  <c r="AH90" i="10"/>
  <c r="W98" i="10"/>
  <c r="AI98" i="10" s="1"/>
  <c r="T112" i="10"/>
  <c r="AL112" i="10" s="1"/>
  <c r="W75" i="10"/>
  <c r="AH75" i="10" s="1"/>
  <c r="W22" i="10"/>
  <c r="AG22" i="10" s="1"/>
  <c r="T77" i="10"/>
  <c r="AC77" i="10" s="1"/>
  <c r="T27" i="10"/>
  <c r="AD27" i="10" s="1"/>
  <c r="AE27" i="10" s="1"/>
  <c r="AF27" i="10" s="1"/>
  <c r="Y131" i="10"/>
  <c r="W115" i="10"/>
  <c r="AO115" i="10" s="1"/>
  <c r="T74" i="10"/>
  <c r="AB74" i="10" s="1"/>
  <c r="R74" i="10"/>
  <c r="AA74" i="10" s="1"/>
  <c r="G85" i="6"/>
  <c r="I85" i="6" s="1"/>
  <c r="W28" i="10"/>
  <c r="AJ28" i="10" s="1"/>
  <c r="W103" i="10"/>
  <c r="AL103" i="10" s="1"/>
  <c r="G173" i="6"/>
  <c r="I173" i="6" s="1"/>
  <c r="T116" i="10"/>
  <c r="AM116" i="10" s="1"/>
  <c r="R23" i="10"/>
  <c r="AA23" i="10" s="1"/>
  <c r="G131" i="6"/>
  <c r="I131" i="6" s="1"/>
  <c r="T100" i="10"/>
  <c r="AK100" i="10" s="1"/>
  <c r="T108" i="10"/>
  <c r="AK108" i="10" s="1"/>
  <c r="R28" i="10"/>
  <c r="AD28" i="10" s="1"/>
  <c r="G144" i="6"/>
  <c r="I144" i="6" s="1"/>
  <c r="G160" i="6"/>
  <c r="I160" i="6" s="1"/>
  <c r="G168" i="6"/>
  <c r="I168" i="6" s="1"/>
  <c r="T73" i="10"/>
  <c r="AB73" i="10" s="1"/>
  <c r="R97" i="10"/>
  <c r="AG97" i="10" s="1"/>
  <c r="R109" i="10"/>
  <c r="AJ109" i="10" s="1"/>
  <c r="P23" i="10"/>
  <c r="W23" i="10"/>
  <c r="AE23" i="10" s="1"/>
  <c r="AI90" i="10"/>
  <c r="G155" i="6"/>
  <c r="I155" i="6" s="1"/>
  <c r="G81" i="6"/>
  <c r="I81" i="6" s="1"/>
  <c r="W24" i="10"/>
  <c r="AH24" i="10" s="1"/>
  <c r="R32" i="10"/>
  <c r="AF32" i="10" s="1"/>
  <c r="P75" i="10"/>
  <c r="G164" i="6"/>
  <c r="I164" i="6" s="1"/>
  <c r="P72" i="10"/>
  <c r="P84" i="10"/>
  <c r="T102" i="10"/>
  <c r="AL102" i="10" s="1"/>
  <c r="G79" i="6"/>
  <c r="I79" i="6" s="1"/>
  <c r="T30" i="10"/>
  <c r="AF30" i="10" s="1"/>
  <c r="AG30" i="10" s="1"/>
  <c r="AH30" i="10" s="1"/>
  <c r="AI30" i="10" s="1"/>
  <c r="AJ30" i="10" s="1"/>
  <c r="T105" i="10"/>
  <c r="AL105" i="10" s="1"/>
  <c r="R113" i="10"/>
  <c r="AK113" i="10" s="1"/>
  <c r="R27" i="10"/>
  <c r="AC27" i="10" s="1"/>
  <c r="AJ90" i="10"/>
  <c r="G143" i="6"/>
  <c r="I143" i="6" s="1"/>
  <c r="T98" i="10"/>
  <c r="AH98" i="10" s="1"/>
  <c r="P98" i="10"/>
  <c r="G161" i="6"/>
  <c r="I161" i="6" s="1"/>
  <c r="R104" i="10"/>
  <c r="AI104" i="10" s="1"/>
  <c r="G169" i="6"/>
  <c r="I169" i="6" s="1"/>
  <c r="R112" i="10"/>
  <c r="AJ112" i="10" s="1"/>
  <c r="R24" i="10"/>
  <c r="AB24" i="10" s="1"/>
  <c r="T32" i="10"/>
  <c r="AG32" i="10" s="1"/>
  <c r="AH32" i="10" s="1"/>
  <c r="AI32" i="10" s="1"/>
  <c r="AJ32" i="10" s="1"/>
  <c r="AK32" i="10" s="1"/>
  <c r="R75" i="10"/>
  <c r="AB75" i="10" s="1"/>
  <c r="P99" i="10"/>
  <c r="W107" i="10"/>
  <c r="AK107" i="10" s="1"/>
  <c r="T72" i="10"/>
  <c r="AC72" i="10" s="1"/>
  <c r="R72" i="10"/>
  <c r="AA72" i="10" s="1"/>
  <c r="T84" i="10"/>
  <c r="AH84" i="10" s="1"/>
  <c r="R84" i="10"/>
  <c r="AD84" i="10" s="1"/>
  <c r="G159" i="6"/>
  <c r="I159" i="6" s="1"/>
  <c r="R102" i="10"/>
  <c r="AH102" i="10" s="1"/>
  <c r="W110" i="10"/>
  <c r="AL110" i="10" s="1"/>
  <c r="P22" i="10"/>
  <c r="R30" i="10"/>
  <c r="AE30" i="10" s="1"/>
  <c r="G134" i="6"/>
  <c r="I134" i="6" s="1"/>
  <c r="R105" i="10"/>
  <c r="AI105" i="10" s="1"/>
  <c r="T113" i="10"/>
  <c r="AL113" i="10" s="1"/>
  <c r="P27" i="10"/>
  <c r="W27" i="10"/>
  <c r="AG27" i="10" s="1"/>
  <c r="AF90" i="10"/>
  <c r="T86" i="10"/>
  <c r="AE86" i="10" s="1"/>
  <c r="P86" i="10"/>
  <c r="P104" i="10"/>
  <c r="P112" i="10"/>
  <c r="G89" i="6"/>
  <c r="I89" i="6" s="1"/>
  <c r="P32" i="10"/>
  <c r="G156" i="6"/>
  <c r="I156" i="6" s="1"/>
  <c r="W99" i="10"/>
  <c r="AN99" i="10" s="1"/>
  <c r="P107" i="10"/>
  <c r="G129" i="6"/>
  <c r="I129" i="6" s="1"/>
  <c r="G141" i="6"/>
  <c r="I141" i="6" s="1"/>
  <c r="P102" i="10"/>
  <c r="G167" i="6"/>
  <c r="I167" i="6" s="1"/>
  <c r="T110" i="10"/>
  <c r="AK110" i="10" s="1"/>
  <c r="R22" i="10"/>
  <c r="AA22" i="10" s="1"/>
  <c r="G87" i="6"/>
  <c r="I87" i="6" s="1"/>
  <c r="P30" i="10"/>
  <c r="R77" i="10"/>
  <c r="AB77" i="10" s="1"/>
  <c r="G162" i="6"/>
  <c r="I162" i="6" s="1"/>
  <c r="P105" i="10"/>
  <c r="G170" i="6"/>
  <c r="I170" i="6" s="1"/>
  <c r="P113" i="10"/>
  <c r="G172" i="6"/>
  <c r="I172" i="6" s="1"/>
  <c r="G157" i="6"/>
  <c r="I157" i="6" s="1"/>
  <c r="R100" i="10"/>
  <c r="AH100" i="10" s="1"/>
  <c r="G165" i="6"/>
  <c r="I165" i="6" s="1"/>
  <c r="R108" i="10"/>
  <c r="AI108" i="10" s="1"/>
  <c r="R20" i="10"/>
  <c r="Z20" i="10" s="1"/>
  <c r="P87" i="10"/>
  <c r="P103" i="10"/>
  <c r="P111" i="10"/>
  <c r="G163" i="6"/>
  <c r="I163" i="6" s="1"/>
  <c r="R114" i="10"/>
  <c r="AK114" i="10" s="1"/>
  <c r="G83" i="6"/>
  <c r="I83" i="6" s="1"/>
  <c r="R101" i="10"/>
  <c r="AH101" i="10" s="1"/>
  <c r="T109" i="10"/>
  <c r="AM109" i="10" s="1"/>
  <c r="AC78" i="10"/>
  <c r="P115" i="10"/>
  <c r="P100" i="10"/>
  <c r="P108" i="10"/>
  <c r="T20" i="10"/>
  <c r="AA20" i="10" s="1"/>
  <c r="AB20" i="10" s="1"/>
  <c r="AC20" i="10" s="1"/>
  <c r="AD20" i="10" s="1"/>
  <c r="AE20" i="10" s="1"/>
  <c r="R87" i="10"/>
  <c r="AE87" i="10" s="1"/>
  <c r="R103" i="10"/>
  <c r="AH103" i="10" s="1"/>
  <c r="R111" i="10"/>
  <c r="AJ111" i="10" s="1"/>
  <c r="W96" i="10"/>
  <c r="AM96" i="10" s="1"/>
  <c r="R106" i="10"/>
  <c r="AI106" i="10" s="1"/>
  <c r="G171" i="6"/>
  <c r="I171" i="6" s="1"/>
  <c r="W26" i="10"/>
  <c r="AI26" i="10" s="1"/>
  <c r="G158" i="6"/>
  <c r="I158" i="6" s="1"/>
  <c r="P101" i="10"/>
  <c r="G166" i="6"/>
  <c r="I166" i="6" s="1"/>
  <c r="P109" i="10"/>
  <c r="P77" i="10"/>
  <c r="U19" i="10"/>
  <c r="R50" i="10"/>
  <c r="AH50" i="10" s="1"/>
  <c r="W34" i="10"/>
  <c r="AM34" i="10" s="1"/>
  <c r="AM129" i="10" s="1"/>
  <c r="T34" i="10"/>
  <c r="AH34" i="10" s="1"/>
  <c r="AI34" i="10" s="1"/>
  <c r="AJ34" i="10" s="1"/>
  <c r="AK34" i="10" s="1"/>
  <c r="AL34" i="10" s="1"/>
  <c r="R34" i="10"/>
  <c r="AG34" i="10" s="1"/>
  <c r="AD78" i="10"/>
  <c r="R115" i="10"/>
  <c r="AK115" i="10" s="1"/>
  <c r="G77" i="6"/>
  <c r="I77" i="6" s="1"/>
  <c r="P20" i="10"/>
  <c r="G91" i="6"/>
  <c r="I91" i="6" s="1"/>
  <c r="P34" i="10"/>
  <c r="T50" i="10"/>
  <c r="AI50" i="10" s="1"/>
  <c r="AJ50" i="10" s="1"/>
  <c r="AK50" i="10" s="1"/>
  <c r="AL50" i="10" s="1"/>
  <c r="AM50" i="10" s="1"/>
  <c r="AM128" i="10" s="1"/>
  <c r="R99" i="10"/>
  <c r="AH99" i="10" s="1"/>
  <c r="R107" i="10"/>
  <c r="AI107" i="10" s="1"/>
  <c r="T96" i="10"/>
  <c r="AK96" i="10" s="1"/>
  <c r="P96" i="10"/>
  <c r="T106" i="10"/>
  <c r="AL106" i="10" s="1"/>
  <c r="T114" i="10"/>
  <c r="AM114" i="10" s="1"/>
  <c r="P26" i="10"/>
  <c r="R73" i="10"/>
  <c r="AA73" i="10" s="1"/>
  <c r="T97" i="10"/>
  <c r="AH97" i="10" s="1"/>
  <c r="AT15" i="11"/>
  <c r="D21" i="11"/>
  <c r="AE78" i="10"/>
  <c r="AG78" i="10"/>
  <c r="O62" i="10"/>
  <c r="G107" i="6"/>
  <c r="I107" i="6" s="1"/>
  <c r="P50" i="10"/>
  <c r="P106" i="10"/>
  <c r="P114" i="10"/>
  <c r="R26" i="10"/>
  <c r="AC26" i="10" s="1"/>
  <c r="G130" i="6"/>
  <c r="I130" i="6" s="1"/>
  <c r="P73" i="10"/>
  <c r="G154" i="6"/>
  <c r="I154" i="6" s="1"/>
  <c r="P97" i="10"/>
  <c r="T38" i="10"/>
  <c r="AB38" i="10" s="1"/>
  <c r="AC38" i="10" s="1"/>
  <c r="AD38" i="10" s="1"/>
  <c r="AE38" i="10" s="1"/>
  <c r="AF38" i="10" s="1"/>
  <c r="R38" i="10"/>
  <c r="AA38" i="10" s="1"/>
  <c r="W38" i="10"/>
  <c r="AG38" i="10" s="1"/>
  <c r="P38" i="10"/>
  <c r="G95" i="6"/>
  <c r="I95" i="6" s="1"/>
  <c r="W44" i="10"/>
  <c r="AK44" i="10" s="1"/>
  <c r="P44" i="10"/>
  <c r="G101" i="6"/>
  <c r="I101" i="6" s="1"/>
  <c r="T44" i="10"/>
  <c r="AF44" i="10" s="1"/>
  <c r="AG44" i="10" s="1"/>
  <c r="AH44" i="10" s="1"/>
  <c r="AI44" i="10" s="1"/>
  <c r="AJ44" i="10" s="1"/>
  <c r="R44" i="10"/>
  <c r="AE44" i="10" s="1"/>
  <c r="G78" i="6"/>
  <c r="I78" i="6" s="1"/>
  <c r="R21" i="10"/>
  <c r="Z21" i="10" s="1"/>
  <c r="W21" i="10"/>
  <c r="AD21" i="10" s="1"/>
  <c r="T21" i="10"/>
  <c r="AA21" i="10" s="1"/>
  <c r="AB21" i="10" s="1"/>
  <c r="AC21" i="10" s="1"/>
  <c r="P21" i="10"/>
  <c r="G86" i="6"/>
  <c r="I86" i="6" s="1"/>
  <c r="R29" i="10"/>
  <c r="AD29" i="10" s="1"/>
  <c r="W29" i="10"/>
  <c r="AH29" i="10" s="1"/>
  <c r="T29" i="10"/>
  <c r="AE29" i="10" s="1"/>
  <c r="AF29" i="10" s="1"/>
  <c r="AG29" i="10" s="1"/>
  <c r="P29" i="10"/>
  <c r="T80" i="10"/>
  <c r="AD80" i="10" s="1"/>
  <c r="W80" i="10"/>
  <c r="AE80" i="10" s="1"/>
  <c r="R80" i="10"/>
  <c r="AC80" i="10" s="1"/>
  <c r="G137" i="6"/>
  <c r="I137" i="6" s="1"/>
  <c r="P80" i="10"/>
  <c r="T92" i="10"/>
  <c r="AG92" i="10" s="1"/>
  <c r="W92" i="10"/>
  <c r="AH92" i="10" s="1"/>
  <c r="R92" i="10"/>
  <c r="AF92" i="10" s="1"/>
  <c r="G149" i="6"/>
  <c r="I149" i="6" s="1"/>
  <c r="P92" i="10"/>
  <c r="G82" i="6"/>
  <c r="I82" i="6" s="1"/>
  <c r="R25" i="10"/>
  <c r="AB25" i="10" s="1"/>
  <c r="W25" i="10"/>
  <c r="AF25" i="10" s="1"/>
  <c r="T25" i="10"/>
  <c r="AC25" i="10" s="1"/>
  <c r="AD25" i="10" s="1"/>
  <c r="AE25" i="10" s="1"/>
  <c r="P25" i="10"/>
  <c r="R76" i="10"/>
  <c r="AB76" i="10" s="1"/>
  <c r="G133" i="6"/>
  <c r="I133" i="6" s="1"/>
  <c r="P76" i="10"/>
  <c r="T76" i="10"/>
  <c r="W76" i="10"/>
  <c r="AF76" i="10" s="1"/>
  <c r="R88" i="10"/>
  <c r="AE88" i="10" s="1"/>
  <c r="G145" i="6"/>
  <c r="I145" i="6" s="1"/>
  <c r="P88" i="10"/>
  <c r="T88" i="10"/>
  <c r="W88" i="10"/>
  <c r="AI88" i="10" s="1"/>
  <c r="G22" i="13"/>
  <c r="H20" i="6"/>
  <c r="H8" i="6" s="1"/>
  <c r="W40" i="10"/>
  <c r="AE40" i="10" s="1"/>
  <c r="T40" i="10"/>
  <c r="AD40" i="10" s="1"/>
  <c r="P40" i="10"/>
  <c r="G97" i="6"/>
  <c r="I97" i="6" s="1"/>
  <c r="R40" i="10"/>
  <c r="AC40" i="10" s="1"/>
  <c r="W81" i="10"/>
  <c r="AI81" i="10" s="1"/>
  <c r="T81" i="10"/>
  <c r="P81" i="10"/>
  <c r="G138" i="6"/>
  <c r="I138" i="6" s="1"/>
  <c r="R81" i="10"/>
  <c r="AC81" i="10" s="1"/>
  <c r="W93" i="10"/>
  <c r="AL93" i="10" s="1"/>
  <c r="T93" i="10"/>
  <c r="P93" i="10"/>
  <c r="G150" i="6"/>
  <c r="I150" i="6" s="1"/>
  <c r="R93" i="10"/>
  <c r="AF93" i="10" s="1"/>
  <c r="AI33" i="11"/>
  <c r="AI60" i="11" s="1"/>
  <c r="AC33" i="11"/>
  <c r="AC60" i="11" s="1"/>
  <c r="AW131" i="10"/>
  <c r="AW117" i="10"/>
  <c r="AX113" i="10"/>
  <c r="AX12" i="10" s="1"/>
  <c r="AX14" i="10" s="1"/>
  <c r="D81" i="9"/>
  <c r="E80" i="9" s="1"/>
  <c r="R47" i="10"/>
  <c r="AF47" i="10" s="1"/>
  <c r="T47" i="10"/>
  <c r="AG47" i="10" s="1"/>
  <c r="AH47" i="10" s="1"/>
  <c r="AI47" i="10" s="1"/>
  <c r="AJ47" i="10" s="1"/>
  <c r="AK47" i="10" s="1"/>
  <c r="G104" i="6"/>
  <c r="I104" i="6" s="1"/>
  <c r="W47" i="10"/>
  <c r="AL47" i="10" s="1"/>
  <c r="P47" i="10"/>
  <c r="AZ47" i="9"/>
  <c r="AX47" i="9"/>
  <c r="AV47" i="9"/>
  <c r="AT47" i="9"/>
  <c r="AR47" i="9"/>
  <c r="AP47" i="9"/>
  <c r="AN47" i="9"/>
  <c r="AL47" i="9"/>
  <c r="AJ47" i="9"/>
  <c r="AH47" i="9"/>
  <c r="AF47" i="9"/>
  <c r="AD47" i="9"/>
  <c r="AB47" i="9"/>
  <c r="Z47" i="9"/>
  <c r="X47" i="9"/>
  <c r="D35" i="9"/>
  <c r="D33" i="9"/>
  <c r="D31" i="9"/>
  <c r="D29" i="9"/>
  <c r="D27" i="9"/>
  <c r="D25" i="9"/>
  <c r="D23" i="9"/>
  <c r="BA47" i="9"/>
  <c r="AY47" i="9"/>
  <c r="AW47" i="9"/>
  <c r="AU47" i="9"/>
  <c r="AS47" i="9"/>
  <c r="AQ47" i="9"/>
  <c r="AO47" i="9"/>
  <c r="AM47" i="9"/>
  <c r="AK47" i="9"/>
  <c r="AI47" i="9"/>
  <c r="AG47" i="9"/>
  <c r="AE47" i="9"/>
  <c r="AC47" i="9"/>
  <c r="AA47" i="9"/>
  <c r="Y47" i="9"/>
  <c r="BC43" i="9"/>
  <c r="BC40" i="9"/>
  <c r="J47" i="9"/>
  <c r="N47" i="9"/>
  <c r="R47" i="9"/>
  <c r="V47" i="9"/>
  <c r="G47" i="9"/>
  <c r="K47" i="9"/>
  <c r="O47" i="9"/>
  <c r="S47" i="9"/>
  <c r="W47" i="9"/>
  <c r="D9" i="9"/>
  <c r="D13" i="9"/>
  <c r="F47" i="9"/>
  <c r="F48" i="9" s="1"/>
  <c r="H47" i="9"/>
  <c r="L47" i="9"/>
  <c r="P47" i="9"/>
  <c r="T47" i="9"/>
  <c r="I47" i="9"/>
  <c r="M47" i="9"/>
  <c r="Q47" i="9"/>
  <c r="U47" i="9"/>
  <c r="D11" i="9"/>
  <c r="AB17" i="10"/>
  <c r="Z17" i="10"/>
  <c r="AA17" i="10"/>
  <c r="AC17" i="10"/>
  <c r="Y17" i="10"/>
  <c r="AD17" i="10"/>
  <c r="X17" i="10"/>
  <c r="R33" i="10"/>
  <c r="AF33" i="10" s="1"/>
  <c r="T33" i="10"/>
  <c r="AG33" i="10" s="1"/>
  <c r="AH33" i="10" s="1"/>
  <c r="AI33" i="10" s="1"/>
  <c r="G90" i="6"/>
  <c r="I90" i="6" s="1"/>
  <c r="W33" i="10"/>
  <c r="AJ33" i="10" s="1"/>
  <c r="P33" i="10"/>
  <c r="W36" i="10"/>
  <c r="AC36" i="10" s="1"/>
  <c r="T36" i="10"/>
  <c r="Z36" i="10" s="1"/>
  <c r="AA36" i="10" s="1"/>
  <c r="AB36" i="10" s="1"/>
  <c r="P36" i="10"/>
  <c r="G93" i="6"/>
  <c r="I93" i="6" s="1"/>
  <c r="R36" i="10"/>
  <c r="Y36" i="10" s="1"/>
  <c r="Y128" i="10" s="1"/>
  <c r="W48" i="10"/>
  <c r="AK48" i="10" s="1"/>
  <c r="T48" i="10"/>
  <c r="AH48" i="10" s="1"/>
  <c r="AI48" i="10" s="1"/>
  <c r="AJ48" i="10" s="1"/>
  <c r="P48" i="10"/>
  <c r="G105" i="6"/>
  <c r="I105" i="6" s="1"/>
  <c r="R48" i="10"/>
  <c r="AG48" i="10" s="1"/>
  <c r="W71" i="10"/>
  <c r="AB71" i="10" s="1"/>
  <c r="T71" i="10"/>
  <c r="AA71" i="10" s="1"/>
  <c r="P71" i="10"/>
  <c r="G128" i="6"/>
  <c r="I128" i="6" s="1"/>
  <c r="R71" i="10"/>
  <c r="Z71" i="10" s="1"/>
  <c r="W91" i="10"/>
  <c r="AJ91" i="10" s="1"/>
  <c r="T91" i="10"/>
  <c r="P91" i="10"/>
  <c r="G148" i="6"/>
  <c r="I148" i="6" s="1"/>
  <c r="R91" i="10"/>
  <c r="AF91" i="10" s="1"/>
  <c r="BE46" i="11"/>
  <c r="R37" i="10"/>
  <c r="Z37" i="10" s="1"/>
  <c r="W37" i="10"/>
  <c r="AB37" i="10" s="1"/>
  <c r="P37" i="10"/>
  <c r="G94" i="6"/>
  <c r="I94" i="6" s="1"/>
  <c r="T37" i="10"/>
  <c r="AA37" i="10" s="1"/>
  <c r="R39" i="10"/>
  <c r="AB39" i="10" s="1"/>
  <c r="W39" i="10"/>
  <c r="AF39" i="10" s="1"/>
  <c r="P39" i="10"/>
  <c r="G96" i="6"/>
  <c r="I96" i="6" s="1"/>
  <c r="T39" i="10"/>
  <c r="AC39" i="10" s="1"/>
  <c r="AD39" i="10" s="1"/>
  <c r="AE39" i="10" s="1"/>
  <c r="R43" i="10"/>
  <c r="AD43" i="10" s="1"/>
  <c r="W43" i="10"/>
  <c r="AF43" i="10" s="1"/>
  <c r="P43" i="10"/>
  <c r="G100" i="6"/>
  <c r="I100" i="6" s="1"/>
  <c r="T43" i="10"/>
  <c r="AE43" i="10" s="1"/>
  <c r="R45" i="10"/>
  <c r="AE45" i="10" s="1"/>
  <c r="W45" i="10"/>
  <c r="AI45" i="10" s="1"/>
  <c r="P45" i="10"/>
  <c r="G102" i="6"/>
  <c r="I102" i="6" s="1"/>
  <c r="T45" i="10"/>
  <c r="AF45" i="10" s="1"/>
  <c r="AG45" i="10" s="1"/>
  <c r="AH45" i="10" s="1"/>
  <c r="R49" i="10"/>
  <c r="AG49" i="10" s="1"/>
  <c r="W49" i="10"/>
  <c r="AI49" i="10" s="1"/>
  <c r="P49" i="10"/>
  <c r="G106" i="6"/>
  <c r="I106" i="6" s="1"/>
  <c r="T49" i="10"/>
  <c r="AH49" i="10" s="1"/>
  <c r="AE82" i="10"/>
  <c r="AF82" i="10"/>
  <c r="AD82" i="10"/>
  <c r="AH94" i="10"/>
  <c r="AG94" i="10"/>
  <c r="Z35" i="10"/>
  <c r="X128" i="10"/>
  <c r="X9" i="10"/>
  <c r="BB35" i="11"/>
  <c r="BE35" i="11" s="1"/>
  <c r="BI35" i="11" s="1"/>
  <c r="C32" i="13"/>
  <c r="C45" i="11"/>
  <c r="R41" i="10"/>
  <c r="AC41" i="10" s="1"/>
  <c r="T41" i="10"/>
  <c r="AD41" i="10" s="1"/>
  <c r="AE41" i="10" s="1"/>
  <c r="AF41" i="10" s="1"/>
  <c r="AG41" i="10" s="1"/>
  <c r="AH41" i="10" s="1"/>
  <c r="G98" i="6"/>
  <c r="I98" i="6" s="1"/>
  <c r="W41" i="10"/>
  <c r="AI41" i="10" s="1"/>
  <c r="P41" i="10"/>
  <c r="W46" i="10"/>
  <c r="AH46" i="10" s="1"/>
  <c r="T46" i="10"/>
  <c r="AG46" i="10" s="1"/>
  <c r="P46" i="10"/>
  <c r="G103" i="6"/>
  <c r="I103" i="6" s="1"/>
  <c r="R46" i="10"/>
  <c r="AF46" i="10" s="1"/>
  <c r="W83" i="10"/>
  <c r="AF83" i="10" s="1"/>
  <c r="T83" i="10"/>
  <c r="AE83" i="10" s="1"/>
  <c r="P83" i="10"/>
  <c r="G140" i="6"/>
  <c r="I140" i="6" s="1"/>
  <c r="R83" i="10"/>
  <c r="AD83" i="10" s="1"/>
  <c r="W95" i="10"/>
  <c r="AI95" i="10" s="1"/>
  <c r="T95" i="10"/>
  <c r="AH95" i="10" s="1"/>
  <c r="P95" i="10"/>
  <c r="G152" i="6"/>
  <c r="I152" i="6" s="1"/>
  <c r="R95" i="10"/>
  <c r="AG95" i="10" s="1"/>
  <c r="W18" i="10"/>
  <c r="AE18" i="10" s="1"/>
  <c r="T18" i="10"/>
  <c r="Z18" i="10" s="1"/>
  <c r="AA18" i="10" s="1"/>
  <c r="AB18" i="10" s="1"/>
  <c r="AC18" i="10" s="1"/>
  <c r="AD18" i="10" s="1"/>
  <c r="P18" i="10"/>
  <c r="R18" i="10"/>
  <c r="Y18" i="10" s="1"/>
  <c r="G75" i="6"/>
  <c r="I75" i="6" s="1"/>
  <c r="AE30" i="11"/>
  <c r="AV125" i="10"/>
  <c r="AE57" i="11" s="1"/>
  <c r="R51" i="10"/>
  <c r="Y51" i="10" s="1"/>
  <c r="T51" i="10"/>
  <c r="G108" i="6"/>
  <c r="I108" i="6" s="1"/>
  <c r="W51" i="10"/>
  <c r="AE51" i="10" s="1"/>
  <c r="P51" i="10"/>
  <c r="C13" i="5"/>
  <c r="H10" i="10"/>
  <c r="E44" i="9"/>
  <c r="BB43" i="9"/>
  <c r="E47" i="9"/>
  <c r="I74" i="6"/>
  <c r="E8" i="10"/>
  <c r="W42" i="10"/>
  <c r="AH42" i="10" s="1"/>
  <c r="T42" i="10"/>
  <c r="AE42" i="10" s="1"/>
  <c r="AF42" i="10" s="1"/>
  <c r="AG42" i="10" s="1"/>
  <c r="P42" i="10"/>
  <c r="G99" i="6"/>
  <c r="I99" i="6" s="1"/>
  <c r="R42" i="10"/>
  <c r="AD42" i="10" s="1"/>
  <c r="W79" i="10"/>
  <c r="AG79" i="10" s="1"/>
  <c r="T79" i="10"/>
  <c r="P79" i="10"/>
  <c r="G136" i="6"/>
  <c r="I136" i="6" s="1"/>
  <c r="R79" i="10"/>
  <c r="AC79" i="10" s="1"/>
  <c r="AB69" i="10"/>
  <c r="AD33" i="11"/>
  <c r="AD60" i="11" s="1"/>
  <c r="F10" i="10"/>
  <c r="G10" i="10" s="1"/>
  <c r="U70" i="10"/>
  <c r="DT70" i="10"/>
  <c r="F8" i="10"/>
  <c r="DT31" i="10" l="1"/>
  <c r="DW31" i="10" s="1"/>
  <c r="AG85" i="10"/>
  <c r="AF85" i="10"/>
  <c r="AD73" i="10"/>
  <c r="AJ87" i="10"/>
  <c r="AN115" i="10"/>
  <c r="AO111" i="10"/>
  <c r="C73" i="6"/>
  <c r="AF75" i="10"/>
  <c r="AL111" i="10"/>
  <c r="AG87" i="10"/>
  <c r="U24" i="10"/>
  <c r="DT98" i="10"/>
  <c r="DW98" i="10" s="1"/>
  <c r="AE75" i="10"/>
  <c r="AM115" i="10"/>
  <c r="AK111" i="10"/>
  <c r="AI103" i="10"/>
  <c r="AF87" i="10"/>
  <c r="U86" i="10"/>
  <c r="U89" i="10"/>
  <c r="C174" i="6"/>
  <c r="B73" i="6"/>
  <c r="T67" i="10"/>
  <c r="AH67" i="10" s="1"/>
  <c r="AI67" i="10" s="1"/>
  <c r="AJ67" i="10" s="1"/>
  <c r="R67" i="10"/>
  <c r="AG67" i="10" s="1"/>
  <c r="B174" i="6"/>
  <c r="DT77" i="10"/>
  <c r="DU77" i="10" s="1"/>
  <c r="U104" i="10"/>
  <c r="AK99" i="10"/>
  <c r="G117" i="10"/>
  <c r="G124" i="6"/>
  <c r="I124" i="6" s="1"/>
  <c r="P67" i="10"/>
  <c r="W67" i="10"/>
  <c r="AK67" i="10" s="1"/>
  <c r="E9" i="10"/>
  <c r="H9" i="10" s="1"/>
  <c r="AQ117" i="10"/>
  <c r="AQ125" i="10" s="1"/>
  <c r="AL99" i="10"/>
  <c r="AO9" i="10"/>
  <c r="AR12" i="10"/>
  <c r="AR14" i="10" s="1"/>
  <c r="AJ99" i="10"/>
  <c r="AI99" i="10"/>
  <c r="AL129" i="10"/>
  <c r="U28" i="10"/>
  <c r="AD75" i="10"/>
  <c r="AC75" i="10"/>
  <c r="AN111" i="10"/>
  <c r="AJ103" i="10"/>
  <c r="DT103" i="10" s="1"/>
  <c r="DW103" i="10" s="1"/>
  <c r="AI87" i="10"/>
  <c r="DT22" i="10"/>
  <c r="DU22" i="10" s="1"/>
  <c r="W58" i="10"/>
  <c r="AI58" i="10" s="1"/>
  <c r="T54" i="10"/>
  <c r="AB54" i="10" s="1"/>
  <c r="AC54" i="10" s="1"/>
  <c r="AD54" i="10" s="1"/>
  <c r="AE54" i="10" s="1"/>
  <c r="AF54" i="10" s="1"/>
  <c r="W65" i="10"/>
  <c r="AJ65" i="10" s="1"/>
  <c r="W55" i="10"/>
  <c r="AE55" i="10" s="1"/>
  <c r="W61" i="10"/>
  <c r="AH61" i="10" s="1"/>
  <c r="R57" i="10"/>
  <c r="AB57" i="10" s="1"/>
  <c r="W63" i="10"/>
  <c r="AI63" i="10" s="1"/>
  <c r="T62" i="10"/>
  <c r="AF62" i="10" s="1"/>
  <c r="AG62" i="10" s="1"/>
  <c r="AH62" i="10" s="1"/>
  <c r="AI62" i="10" s="1"/>
  <c r="AJ62" i="10" s="1"/>
  <c r="R66" i="10"/>
  <c r="AG66" i="10" s="1"/>
  <c r="W64" i="10"/>
  <c r="AL64" i="10" s="1"/>
  <c r="W53" i="10"/>
  <c r="AD53" i="10" s="1"/>
  <c r="W68" i="10"/>
  <c r="AN68" i="10" s="1"/>
  <c r="AO11" i="10" s="1"/>
  <c r="W56" i="10"/>
  <c r="AH56" i="10" s="1"/>
  <c r="W59" i="10"/>
  <c r="AG59" i="10" s="1"/>
  <c r="G41" i="6"/>
  <c r="H41" i="6" s="1"/>
  <c r="G26" i="6"/>
  <c r="F26" i="6" s="1"/>
  <c r="P59" i="10"/>
  <c r="T59" i="10"/>
  <c r="AD59" i="10" s="1"/>
  <c r="AE59" i="10" s="1"/>
  <c r="AF59" i="10" s="1"/>
  <c r="R59" i="10"/>
  <c r="AC59" i="10" s="1"/>
  <c r="G116" i="6"/>
  <c r="I116" i="6" s="1"/>
  <c r="G113" i="6"/>
  <c r="I113" i="6" s="1"/>
  <c r="T68" i="10"/>
  <c r="AI68" i="10" s="1"/>
  <c r="AJ68" i="10" s="1"/>
  <c r="AK68" i="10" s="1"/>
  <c r="AL68" i="10" s="1"/>
  <c r="AM68" i="10" s="1"/>
  <c r="T56" i="10"/>
  <c r="AC56" i="10" s="1"/>
  <c r="AD56" i="10" s="1"/>
  <c r="AE56" i="10" s="1"/>
  <c r="AF56" i="10" s="1"/>
  <c r="AG56" i="10" s="1"/>
  <c r="U98" i="10"/>
  <c r="R56" i="10"/>
  <c r="AB56" i="10" s="1"/>
  <c r="P56" i="10"/>
  <c r="DT116" i="10"/>
  <c r="DW116" i="10" s="1"/>
  <c r="T63" i="10"/>
  <c r="AF63" i="10" s="1"/>
  <c r="AG63" i="10" s="1"/>
  <c r="AH63" i="10" s="1"/>
  <c r="DT101" i="10"/>
  <c r="DU101" i="10" s="1"/>
  <c r="DT89" i="10"/>
  <c r="DW89" i="10" s="1"/>
  <c r="Y9" i="10"/>
  <c r="AN10" i="10"/>
  <c r="W57" i="10"/>
  <c r="AF57" i="10" s="1"/>
  <c r="AK109" i="10"/>
  <c r="R55" i="10"/>
  <c r="AA55" i="10" s="1"/>
  <c r="AN105" i="10"/>
  <c r="U23" i="10"/>
  <c r="AF84" i="10"/>
  <c r="AN108" i="10"/>
  <c r="R63" i="10"/>
  <c r="AE63" i="10" s="1"/>
  <c r="AK105" i="10"/>
  <c r="AM112" i="10"/>
  <c r="G114" i="6"/>
  <c r="I114" i="6" s="1"/>
  <c r="T61" i="10"/>
  <c r="AE61" i="10" s="1"/>
  <c r="AF61" i="10" s="1"/>
  <c r="AG61" i="10" s="1"/>
  <c r="AD72" i="10"/>
  <c r="AJ108" i="10"/>
  <c r="AM108" i="10"/>
  <c r="G120" i="6"/>
  <c r="I120" i="6" s="1"/>
  <c r="P63" i="10"/>
  <c r="AJ105" i="10"/>
  <c r="AK112" i="10"/>
  <c r="T57" i="10"/>
  <c r="AC57" i="10" s="1"/>
  <c r="AD57" i="10" s="1"/>
  <c r="AE57" i="10" s="1"/>
  <c r="P57" i="10"/>
  <c r="DT26" i="10"/>
  <c r="DU26" i="10" s="1"/>
  <c r="DT74" i="10"/>
  <c r="DU74" i="10" s="1"/>
  <c r="U116" i="10"/>
  <c r="AJ102" i="10"/>
  <c r="DT24" i="10"/>
  <c r="DW24" i="10" s="1"/>
  <c r="AI100" i="10"/>
  <c r="T53" i="10"/>
  <c r="AA53" i="10" s="1"/>
  <c r="AB53" i="10" s="1"/>
  <c r="AC53" i="10" s="1"/>
  <c r="DT23" i="10"/>
  <c r="DW23" i="10" s="1"/>
  <c r="AK102" i="10"/>
  <c r="AJ100" i="10"/>
  <c r="U74" i="10"/>
  <c r="T64" i="10"/>
  <c r="AG64" i="10" s="1"/>
  <c r="AH64" i="10" s="1"/>
  <c r="AI64" i="10" s="1"/>
  <c r="AJ64" i="10" s="1"/>
  <c r="AK64" i="10" s="1"/>
  <c r="R68" i="10"/>
  <c r="AH68" i="10" s="1"/>
  <c r="AC73" i="10"/>
  <c r="DT73" i="10" s="1"/>
  <c r="DW73" i="10" s="1"/>
  <c r="DT28" i="10"/>
  <c r="DU28" i="10" s="1"/>
  <c r="DT107" i="10"/>
  <c r="DW107" i="10" s="1"/>
  <c r="AI102" i="10"/>
  <c r="AM102" i="10"/>
  <c r="R64" i="10"/>
  <c r="AF64" i="10" s="1"/>
  <c r="P68" i="10"/>
  <c r="U101" i="10"/>
  <c r="U77" i="10"/>
  <c r="AL114" i="10"/>
  <c r="AA131" i="10"/>
  <c r="R54" i="10"/>
  <c r="AA54" i="10" s="1"/>
  <c r="R53" i="10"/>
  <c r="Z53" i="10" s="1"/>
  <c r="DU31" i="10"/>
  <c r="DT30" i="10"/>
  <c r="DU30" i="10" s="1"/>
  <c r="U27" i="10"/>
  <c r="AI84" i="10"/>
  <c r="AB72" i="10"/>
  <c r="AB12" i="10" s="1"/>
  <c r="AE72" i="10"/>
  <c r="AM10" i="10"/>
  <c r="AL108" i="10"/>
  <c r="T55" i="10"/>
  <c r="AB55" i="10" s="1"/>
  <c r="AC55" i="10" s="1"/>
  <c r="AD55" i="10" s="1"/>
  <c r="AM105" i="10"/>
  <c r="U30" i="10"/>
  <c r="R61" i="10"/>
  <c r="AD61" i="10" s="1"/>
  <c r="DW19" i="10"/>
  <c r="U26" i="10"/>
  <c r="DT27" i="10"/>
  <c r="DU27" i="10" s="1"/>
  <c r="U90" i="10"/>
  <c r="AI96" i="10"/>
  <c r="DT32" i="10"/>
  <c r="DU32" i="10" s="1"/>
  <c r="DT104" i="10"/>
  <c r="DW104" i="10" s="1"/>
  <c r="P55" i="10"/>
  <c r="P64" i="10"/>
  <c r="AI97" i="10"/>
  <c r="U22" i="10"/>
  <c r="AJ106" i="10"/>
  <c r="DT20" i="10"/>
  <c r="DU20" i="10" s="1"/>
  <c r="DT86" i="10"/>
  <c r="DW86" i="10" s="1"/>
  <c r="P53" i="10"/>
  <c r="P61" i="10"/>
  <c r="DT110" i="10"/>
  <c r="DW110" i="10" s="1"/>
  <c r="AL96" i="10"/>
  <c r="AE84" i="10"/>
  <c r="AG84" i="10"/>
  <c r="AF72" i="10"/>
  <c r="U32" i="10"/>
  <c r="G112" i="6"/>
  <c r="I112" i="6" s="1"/>
  <c r="G121" i="6"/>
  <c r="I121" i="6" s="1"/>
  <c r="AJ97" i="10"/>
  <c r="AK106" i="10"/>
  <c r="P62" i="10"/>
  <c r="G110" i="6"/>
  <c r="I110" i="6" s="1"/>
  <c r="G118" i="6"/>
  <c r="I118" i="6" s="1"/>
  <c r="G123" i="6"/>
  <c r="I123" i="6" s="1"/>
  <c r="AG129" i="10"/>
  <c r="U78" i="10"/>
  <c r="U20" i="10"/>
  <c r="U110" i="10"/>
  <c r="G125" i="6"/>
  <c r="I125" i="6" s="1"/>
  <c r="AO114" i="10"/>
  <c r="U107" i="10"/>
  <c r="AF129" i="10"/>
  <c r="DT90" i="10"/>
  <c r="DT50" i="10"/>
  <c r="DW50" i="10" s="1"/>
  <c r="AJ10" i="10"/>
  <c r="AL109" i="10"/>
  <c r="AI129" i="10"/>
  <c r="U50" i="10"/>
  <c r="AI10" i="10"/>
  <c r="AK129" i="10"/>
  <c r="AP114" i="10"/>
  <c r="AP131" i="10" s="1"/>
  <c r="AN9" i="10"/>
  <c r="DT34" i="10"/>
  <c r="DU34" i="10" s="1"/>
  <c r="W54" i="10"/>
  <c r="AG54" i="10" s="1"/>
  <c r="R65" i="10"/>
  <c r="AF65" i="10" s="1"/>
  <c r="AH129" i="10"/>
  <c r="AL10" i="10"/>
  <c r="AN114" i="10"/>
  <c r="U34" i="10"/>
  <c r="AJ129" i="10"/>
  <c r="AK10" i="10"/>
  <c r="P54" i="10"/>
  <c r="T65" i="10"/>
  <c r="AG65" i="10" s="1"/>
  <c r="AH65" i="10" s="1"/>
  <c r="AI65" i="10" s="1"/>
  <c r="AK9" i="10"/>
  <c r="Z9" i="10"/>
  <c r="G111" i="6"/>
  <c r="I111" i="6" s="1"/>
  <c r="T58" i="10"/>
  <c r="AD58" i="10" s="1"/>
  <c r="AE58" i="10" s="1"/>
  <c r="AF58" i="10" s="1"/>
  <c r="AG58" i="10" s="1"/>
  <c r="AH58" i="10" s="1"/>
  <c r="G122" i="6"/>
  <c r="I122" i="6" s="1"/>
  <c r="P65" i="10"/>
  <c r="AL9" i="10"/>
  <c r="DT94" i="10"/>
  <c r="DU94" i="10" s="1"/>
  <c r="U82" i="10"/>
  <c r="U103" i="10"/>
  <c r="AK128" i="10"/>
  <c r="AJ128" i="10"/>
  <c r="AH96" i="10"/>
  <c r="AJ96" i="10"/>
  <c r="U38" i="10"/>
  <c r="U44" i="10"/>
  <c r="G115" i="6"/>
  <c r="I115" i="6" s="1"/>
  <c r="R62" i="10"/>
  <c r="AE62" i="10" s="1"/>
  <c r="W62" i="10"/>
  <c r="AK62" i="10" s="1"/>
  <c r="W66" i="10"/>
  <c r="AM66" i="10" s="1"/>
  <c r="AU15" i="11"/>
  <c r="AD128" i="10"/>
  <c r="U94" i="10"/>
  <c r="DT82" i="10"/>
  <c r="DW82" i="10" s="1"/>
  <c r="DT38" i="10"/>
  <c r="DU38" i="10" s="1"/>
  <c r="O117" i="10"/>
  <c r="C31" i="11" s="1"/>
  <c r="DT44" i="10"/>
  <c r="DU44" i="10" s="1"/>
  <c r="D37" i="9"/>
  <c r="R58" i="10"/>
  <c r="AC58" i="10" s="1"/>
  <c r="P58" i="10"/>
  <c r="G119" i="6"/>
  <c r="I119" i="6" s="1"/>
  <c r="T66" i="10"/>
  <c r="AH66" i="10" s="1"/>
  <c r="AI66" i="10" s="1"/>
  <c r="AJ66" i="10" s="1"/>
  <c r="AK66" i="10" s="1"/>
  <c r="AL66" i="10" s="1"/>
  <c r="P66" i="10"/>
  <c r="DT78" i="10"/>
  <c r="AH9" i="10"/>
  <c r="AG128" i="10"/>
  <c r="AH10" i="10"/>
  <c r="AC76" i="10"/>
  <c r="AD76" i="10"/>
  <c r="AE76" i="10"/>
  <c r="DT92" i="10"/>
  <c r="U92" i="10"/>
  <c r="DT21" i="10"/>
  <c r="U21" i="10"/>
  <c r="AG88" i="10"/>
  <c r="AH88" i="10"/>
  <c r="AF88" i="10"/>
  <c r="DT25" i="10"/>
  <c r="U25" i="10"/>
  <c r="DT80" i="10"/>
  <c r="U80" i="10"/>
  <c r="DT29" i="10"/>
  <c r="U29" i="10"/>
  <c r="G8" i="10"/>
  <c r="AF79" i="10"/>
  <c r="AD79" i="10"/>
  <c r="AE79" i="10"/>
  <c r="DT42" i="10"/>
  <c r="U42" i="10"/>
  <c r="BB47" i="9"/>
  <c r="E48" i="9"/>
  <c r="AC51" i="10"/>
  <c r="AA51" i="10"/>
  <c r="AD51" i="10"/>
  <c r="Z51" i="10"/>
  <c r="AB51" i="10"/>
  <c r="Y130" i="10"/>
  <c r="Y11" i="10"/>
  <c r="DT18" i="10"/>
  <c r="U18" i="10"/>
  <c r="AE129" i="10"/>
  <c r="AF10" i="10"/>
  <c r="DT95" i="10"/>
  <c r="U95" i="10"/>
  <c r="DT46" i="10"/>
  <c r="U46" i="10"/>
  <c r="F180" i="6"/>
  <c r="G46" i="6"/>
  <c r="H46" i="6" s="1"/>
  <c r="G44" i="6"/>
  <c r="H44" i="6" s="1"/>
  <c r="G37" i="6"/>
  <c r="H37" i="6" s="1"/>
  <c r="G34" i="6"/>
  <c r="F34" i="6" s="1"/>
  <c r="G32" i="6"/>
  <c r="H32" i="6" s="1"/>
  <c r="G24" i="6"/>
  <c r="H24" i="6" s="1"/>
  <c r="G47" i="6"/>
  <c r="H47" i="6" s="1"/>
  <c r="G45" i="6"/>
  <c r="H45" i="6" s="1"/>
  <c r="G43" i="6"/>
  <c r="H43" i="6" s="1"/>
  <c r="G40" i="6"/>
  <c r="H40" i="6" s="1"/>
  <c r="G39" i="6"/>
  <c r="H39" i="6" s="1"/>
  <c r="G38" i="6"/>
  <c r="F38" i="6" s="1"/>
  <c r="G36" i="6"/>
  <c r="H36" i="6" s="1"/>
  <c r="G35" i="6"/>
  <c r="H35" i="6" s="1"/>
  <c r="G33" i="6"/>
  <c r="F33" i="6" s="1"/>
  <c r="G25" i="6"/>
  <c r="H25" i="6" s="1"/>
  <c r="BI45" i="11"/>
  <c r="D45" i="11"/>
  <c r="BG45" i="11"/>
  <c r="AF9" i="10"/>
  <c r="AE128" i="10"/>
  <c r="U45" i="10"/>
  <c r="DT45" i="10"/>
  <c r="U39" i="10"/>
  <c r="DT39" i="10"/>
  <c r="AI91" i="10"/>
  <c r="AG91" i="10"/>
  <c r="AH91" i="10"/>
  <c r="DT48" i="10"/>
  <c r="U48" i="10"/>
  <c r="AC129" i="10"/>
  <c r="AD10" i="10"/>
  <c r="AB129" i="10"/>
  <c r="AC10" i="10"/>
  <c r="D19" i="9"/>
  <c r="AF30" i="11"/>
  <c r="AW125" i="10"/>
  <c r="AF57" i="11" s="1"/>
  <c r="AK93" i="10"/>
  <c r="AI93" i="10"/>
  <c r="AG93" i="10"/>
  <c r="AH93" i="10"/>
  <c r="AJ93" i="10"/>
  <c r="DT40" i="10"/>
  <c r="U40" i="10"/>
  <c r="C33" i="13"/>
  <c r="C46" i="11"/>
  <c r="BJ46" i="11" s="1"/>
  <c r="AE9" i="10"/>
  <c r="DU70" i="10"/>
  <c r="DW70" i="10"/>
  <c r="BJ45" i="11"/>
  <c r="AC69" i="10"/>
  <c r="C11" i="5"/>
  <c r="H8" i="10"/>
  <c r="AE33" i="11"/>
  <c r="AE60" i="11" s="1"/>
  <c r="DT83" i="10"/>
  <c r="U83" i="10"/>
  <c r="AI128" i="10"/>
  <c r="AJ9" i="10"/>
  <c r="AH128" i="10"/>
  <c r="AI9" i="10"/>
  <c r="U41" i="10"/>
  <c r="DT41" i="10"/>
  <c r="W52" i="10"/>
  <c r="AF52" i="10" s="1"/>
  <c r="T52" i="10"/>
  <c r="AA52" i="10" s="1"/>
  <c r="AB52" i="10" s="1"/>
  <c r="AC52" i="10" s="1"/>
  <c r="AD52" i="10" s="1"/>
  <c r="AE52" i="10" s="1"/>
  <c r="P52" i="10"/>
  <c r="G109" i="6"/>
  <c r="I109" i="6" s="1"/>
  <c r="R52" i="10"/>
  <c r="Z52" i="10" s="1"/>
  <c r="F9" i="10"/>
  <c r="G9" i="10" s="1"/>
  <c r="W60" i="10"/>
  <c r="AJ60" i="10" s="1"/>
  <c r="T60" i="10"/>
  <c r="AE60" i="10" s="1"/>
  <c r="AF60" i="10" s="1"/>
  <c r="AG60" i="10" s="1"/>
  <c r="AH60" i="10" s="1"/>
  <c r="P60" i="10"/>
  <c r="G117" i="6"/>
  <c r="I117" i="6" s="1"/>
  <c r="R60" i="10"/>
  <c r="AD60" i="10" s="1"/>
  <c r="F32" i="13"/>
  <c r="G32" i="13" s="1"/>
  <c r="Z128" i="10"/>
  <c r="AA35" i="10"/>
  <c r="AF128" i="10"/>
  <c r="AG9" i="10"/>
  <c r="AG10" i="10"/>
  <c r="U49" i="10"/>
  <c r="DT49" i="10"/>
  <c r="U43" i="10"/>
  <c r="DT43" i="10"/>
  <c r="U37" i="10"/>
  <c r="DT37" i="10"/>
  <c r="DT71" i="10"/>
  <c r="U71" i="10"/>
  <c r="Z131" i="10"/>
  <c r="AA12" i="10"/>
  <c r="Z12" i="10"/>
  <c r="DT36" i="10"/>
  <c r="U36" i="10"/>
  <c r="U33" i="10"/>
  <c r="DT33" i="10"/>
  <c r="U17" i="10"/>
  <c r="X129" i="10"/>
  <c r="X117" i="10"/>
  <c r="DT17" i="10"/>
  <c r="X10" i="10"/>
  <c r="Y10" i="10"/>
  <c r="AD129" i="10"/>
  <c r="AE10" i="10"/>
  <c r="Y129" i="10"/>
  <c r="Y117" i="10"/>
  <c r="Z10" i="10"/>
  <c r="AA129" i="10"/>
  <c r="AB10" i="10"/>
  <c r="Z129" i="10"/>
  <c r="AA10" i="10"/>
  <c r="G48" i="9"/>
  <c r="H48" i="9" s="1"/>
  <c r="I48" i="9" s="1"/>
  <c r="J48" i="9" s="1"/>
  <c r="K48" i="9" s="1"/>
  <c r="L48" i="9" s="1"/>
  <c r="M48" i="9" s="1"/>
  <c r="N48" i="9" s="1"/>
  <c r="O48" i="9" s="1"/>
  <c r="P48" i="9" s="1"/>
  <c r="Q48" i="9" s="1"/>
  <c r="R48" i="9" s="1"/>
  <c r="S48" i="9" s="1"/>
  <c r="T48" i="9" s="1"/>
  <c r="U48" i="9" s="1"/>
  <c r="V48" i="9" s="1"/>
  <c r="W48" i="9" s="1"/>
  <c r="X48" i="9" s="1"/>
  <c r="Y48" i="9" s="1"/>
  <c r="Z48" i="9" s="1"/>
  <c r="AA48" i="9" s="1"/>
  <c r="AB48" i="9" s="1"/>
  <c r="AC48" i="9" s="1"/>
  <c r="AD48" i="9" s="1"/>
  <c r="AE48" i="9" s="1"/>
  <c r="AF48" i="9" s="1"/>
  <c r="AG48" i="9" s="1"/>
  <c r="AH48" i="9" s="1"/>
  <c r="AI48" i="9" s="1"/>
  <c r="AJ48" i="9" s="1"/>
  <c r="AK48" i="9" s="1"/>
  <c r="AL48" i="9" s="1"/>
  <c r="AM48" i="9" s="1"/>
  <c r="AN48" i="9" s="1"/>
  <c r="AO48" i="9" s="1"/>
  <c r="AP48" i="9" s="1"/>
  <c r="AQ48" i="9" s="1"/>
  <c r="AR48" i="9" s="1"/>
  <c r="AS48" i="9" s="1"/>
  <c r="AT48" i="9" s="1"/>
  <c r="AU48" i="9" s="1"/>
  <c r="AV48" i="9" s="1"/>
  <c r="AW48" i="9" s="1"/>
  <c r="AX48" i="9" s="1"/>
  <c r="AY48" i="9" s="1"/>
  <c r="AZ48" i="9" s="1"/>
  <c r="BA48" i="9" s="1"/>
  <c r="AL128" i="10"/>
  <c r="AM9" i="10"/>
  <c r="U47" i="10"/>
  <c r="DT47" i="10"/>
  <c r="E76" i="9"/>
  <c r="E72" i="9"/>
  <c r="AX131" i="10"/>
  <c r="AX117" i="10"/>
  <c r="AY113" i="10"/>
  <c r="AH81" i="10"/>
  <c r="AF81" i="10"/>
  <c r="AD81" i="10"/>
  <c r="AE81" i="10"/>
  <c r="AG81" i="10"/>
  <c r="H23" i="6" l="1"/>
  <c r="DT85" i="10"/>
  <c r="DW85" i="10" s="1"/>
  <c r="U85" i="10"/>
  <c r="DT56" i="10"/>
  <c r="DW56" i="10" s="1"/>
  <c r="Z30" i="11"/>
  <c r="DU98" i="10"/>
  <c r="DT111" i="10"/>
  <c r="DU111" i="10" s="1"/>
  <c r="E12" i="10"/>
  <c r="C12" i="5"/>
  <c r="AO131" i="10"/>
  <c r="U87" i="10"/>
  <c r="U111" i="10"/>
  <c r="DT87" i="10"/>
  <c r="DW87" i="10" s="1"/>
  <c r="DW77" i="10"/>
  <c r="Z31" i="11"/>
  <c r="DT115" i="10"/>
  <c r="DW115" i="10" s="1"/>
  <c r="DT67" i="10"/>
  <c r="DU67" i="10" s="1"/>
  <c r="U115" i="10"/>
  <c r="DW22" i="10"/>
  <c r="U67" i="10"/>
  <c r="DT99" i="10"/>
  <c r="DW99" i="10" s="1"/>
  <c r="U100" i="10"/>
  <c r="DT75" i="10"/>
  <c r="DW75" i="10" s="1"/>
  <c r="AN130" i="10"/>
  <c r="DU116" i="10"/>
  <c r="U73" i="10"/>
  <c r="DT63" i="10"/>
  <c r="DW63" i="10" s="1"/>
  <c r="U75" i="10"/>
  <c r="U99" i="10"/>
  <c r="AO117" i="10"/>
  <c r="AO125" i="10" s="1"/>
  <c r="AO123" i="10" s="1"/>
  <c r="U63" i="10"/>
  <c r="DT68" i="10"/>
  <c r="DW68" i="10" s="1"/>
  <c r="H31" i="6"/>
  <c r="DU110" i="10"/>
  <c r="DU23" i="10"/>
  <c r="DW28" i="10"/>
  <c r="DU89" i="10"/>
  <c r="DT112" i="10"/>
  <c r="DW112" i="10" s="1"/>
  <c r="DU24" i="10"/>
  <c r="DW26" i="10"/>
  <c r="U59" i="10"/>
  <c r="U112" i="10"/>
  <c r="AN11" i="10"/>
  <c r="U109" i="10"/>
  <c r="DT61" i="10"/>
  <c r="DU61" i="10" s="1"/>
  <c r="AM131" i="10"/>
  <c r="U53" i="10"/>
  <c r="DW101" i="10"/>
  <c r="U56" i="10"/>
  <c r="DT59" i="10"/>
  <c r="DW59" i="10" s="1"/>
  <c r="U61" i="10"/>
  <c r="DU107" i="10"/>
  <c r="DW74" i="10"/>
  <c r="DW32" i="10"/>
  <c r="U57" i="10"/>
  <c r="DW30" i="10"/>
  <c r="DW34" i="10"/>
  <c r="DU50" i="10"/>
  <c r="DT106" i="10"/>
  <c r="DU106" i="10" s="1"/>
  <c r="DT100" i="10"/>
  <c r="DU100" i="10" s="1"/>
  <c r="U105" i="10"/>
  <c r="U106" i="10"/>
  <c r="DT64" i="10"/>
  <c r="DU64" i="10" s="1"/>
  <c r="U102" i="10"/>
  <c r="U64" i="10"/>
  <c r="DT57" i="10"/>
  <c r="DU57" i="10" s="1"/>
  <c r="U108" i="10"/>
  <c r="DU115" i="10"/>
  <c r="AM11" i="10"/>
  <c r="DW20" i="10"/>
  <c r="U55" i="10"/>
  <c r="U68" i="10"/>
  <c r="DT62" i="10"/>
  <c r="DU62" i="10" s="1"/>
  <c r="U84" i="10"/>
  <c r="DT53" i="10"/>
  <c r="DU53" i="10" s="1"/>
  <c r="DT72" i="10"/>
  <c r="DU72" i="10" s="1"/>
  <c r="AL131" i="10"/>
  <c r="DT97" i="10"/>
  <c r="DU97" i="10" s="1"/>
  <c r="DT55" i="10"/>
  <c r="DW55" i="10" s="1"/>
  <c r="AB131" i="10"/>
  <c r="DU103" i="10"/>
  <c r="AL130" i="10"/>
  <c r="DT102" i="10"/>
  <c r="DU102" i="10" s="1"/>
  <c r="U54" i="10"/>
  <c r="U97" i="10"/>
  <c r="DT84" i="10"/>
  <c r="DU84" i="10" s="1"/>
  <c r="DW27" i="10"/>
  <c r="DU86" i="10"/>
  <c r="DU104" i="10"/>
  <c r="DT105" i="10"/>
  <c r="DU105" i="10" s="1"/>
  <c r="DT108" i="10"/>
  <c r="DU108" i="10" s="1"/>
  <c r="U72" i="10"/>
  <c r="C14" i="5"/>
  <c r="DW97" i="10"/>
  <c r="DT65" i="10"/>
  <c r="DU65" i="10" s="1"/>
  <c r="AM117" i="10"/>
  <c r="AM125" i="10" s="1"/>
  <c r="AN12" i="10"/>
  <c r="DW94" i="10"/>
  <c r="DT54" i="10"/>
  <c r="DW54" i="10" s="1"/>
  <c r="DU73" i="10"/>
  <c r="AM130" i="10"/>
  <c r="AM12" i="10"/>
  <c r="DW44" i="10"/>
  <c r="H12" i="10"/>
  <c r="DT66" i="10"/>
  <c r="DU66" i="10" s="1"/>
  <c r="DU82" i="10"/>
  <c r="AN131" i="10"/>
  <c r="DT109" i="10"/>
  <c r="DU109" i="10" s="1"/>
  <c r="DT58" i="10"/>
  <c r="DW58" i="10" s="1"/>
  <c r="AN117" i="10"/>
  <c r="W31" i="11" s="1"/>
  <c r="AP12" i="10"/>
  <c r="AP14" i="10" s="1"/>
  <c r="DW90" i="10"/>
  <c r="DU90" i="10"/>
  <c r="AQ12" i="10"/>
  <c r="AQ14" i="10" s="1"/>
  <c r="AP117" i="10"/>
  <c r="U65" i="10"/>
  <c r="DT114" i="10"/>
  <c r="DW114" i="10" s="1"/>
  <c r="DW38" i="10"/>
  <c r="U58" i="10"/>
  <c r="U114" i="10"/>
  <c r="AO12" i="10"/>
  <c r="AO14" i="10" s="1"/>
  <c r="AI131" i="10"/>
  <c r="U51" i="10"/>
  <c r="DT76" i="10"/>
  <c r="DW76" i="10" s="1"/>
  <c r="DT96" i="10"/>
  <c r="AK130" i="10"/>
  <c r="AV15" i="11"/>
  <c r="AH12" i="10"/>
  <c r="U62" i="10"/>
  <c r="Z117" i="10"/>
  <c r="I31" i="11" s="1"/>
  <c r="U96" i="10"/>
  <c r="DW78" i="10"/>
  <c r="DU78" i="10"/>
  <c r="AF12" i="10"/>
  <c r="AG12" i="10"/>
  <c r="Y14" i="10"/>
  <c r="AA117" i="10"/>
  <c r="AA125" i="10" s="1"/>
  <c r="AC12" i="10"/>
  <c r="AL117" i="10"/>
  <c r="U31" i="11" s="1"/>
  <c r="U66" i="10"/>
  <c r="AL11" i="10"/>
  <c r="D40" i="9"/>
  <c r="BC47" i="9" s="1"/>
  <c r="U91" i="10"/>
  <c r="DT51" i="10"/>
  <c r="DW51" i="10" s="1"/>
  <c r="U88" i="10"/>
  <c r="U81" i="10"/>
  <c r="E81" i="9"/>
  <c r="U93" i="10"/>
  <c r="DT91" i="10"/>
  <c r="DW91" i="10" s="1"/>
  <c r="DT79" i="10"/>
  <c r="DW79" i="10" s="1"/>
  <c r="U76" i="10"/>
  <c r="I174" i="6"/>
  <c r="AF11" i="10"/>
  <c r="AE131" i="10"/>
  <c r="DW29" i="10"/>
  <c r="DU29" i="10"/>
  <c r="DW80" i="10"/>
  <c r="DU80" i="10"/>
  <c r="DW25" i="10"/>
  <c r="DU25" i="10"/>
  <c r="DT88" i="10"/>
  <c r="DW21" i="10"/>
  <c r="DU21" i="10"/>
  <c r="DU92" i="10"/>
  <c r="DW92" i="10"/>
  <c r="AH131" i="10"/>
  <c r="AI12" i="10"/>
  <c r="DT81" i="10"/>
  <c r="AY131" i="10"/>
  <c r="AY117" i="10"/>
  <c r="AZ12" i="10"/>
  <c r="AZ14" i="10" s="1"/>
  <c r="DT113" i="10"/>
  <c r="U113" i="10"/>
  <c r="DU47" i="10"/>
  <c r="DW47" i="10"/>
  <c r="H30" i="11"/>
  <c r="Y125" i="10"/>
  <c r="H31" i="11"/>
  <c r="DT10" i="10"/>
  <c r="G31" i="11"/>
  <c r="G30" i="11"/>
  <c r="X125" i="10"/>
  <c r="DW36" i="10"/>
  <c r="DU36" i="10"/>
  <c r="DW37" i="10"/>
  <c r="DU37" i="10"/>
  <c r="DW43" i="10"/>
  <c r="DU43" i="10"/>
  <c r="DW49" i="10"/>
  <c r="DU49" i="10"/>
  <c r="AA128" i="10"/>
  <c r="AB35" i="10"/>
  <c r="AB9" i="10" s="1"/>
  <c r="AJ130" i="10"/>
  <c r="AK11" i="10"/>
  <c r="AF130" i="10"/>
  <c r="AG11" i="10"/>
  <c r="DW41" i="10"/>
  <c r="DU41" i="10"/>
  <c r="G174" i="6"/>
  <c r="AC131" i="10"/>
  <c r="AD69" i="10"/>
  <c r="AD12" i="10" s="1"/>
  <c r="AF131" i="10"/>
  <c r="AQ123" i="10"/>
  <c r="AQ122" i="10"/>
  <c r="AQ120" i="10"/>
  <c r="Z57" i="11"/>
  <c r="AQ121" i="10"/>
  <c r="BG46" i="11"/>
  <c r="BI46" i="11"/>
  <c r="D46" i="11"/>
  <c r="AJ131" i="10"/>
  <c r="AK12" i="10"/>
  <c r="AK131" i="10"/>
  <c r="AL12" i="10"/>
  <c r="DT93" i="10"/>
  <c r="AH11" i="10"/>
  <c r="T117" i="10"/>
  <c r="W117" i="10"/>
  <c r="DU39" i="10"/>
  <c r="DW39" i="10"/>
  <c r="DU45" i="10"/>
  <c r="DW45" i="10"/>
  <c r="C36" i="13"/>
  <c r="C51" i="11"/>
  <c r="C40" i="13"/>
  <c r="C55" i="11"/>
  <c r="C39" i="13"/>
  <c r="C54" i="11"/>
  <c r="DW18" i="10"/>
  <c r="DU18" i="10"/>
  <c r="AB130" i="10"/>
  <c r="AC11" i="10"/>
  <c r="AD130" i="10"/>
  <c r="AE11" i="10"/>
  <c r="AC130" i="10"/>
  <c r="AD11" i="10"/>
  <c r="AE130" i="10"/>
  <c r="DW42" i="10"/>
  <c r="DU42" i="10"/>
  <c r="U79" i="10"/>
  <c r="G12" i="10"/>
  <c r="AK117" i="10"/>
  <c r="AY12" i="10"/>
  <c r="AY14" i="10" s="1"/>
  <c r="AG30" i="11"/>
  <c r="AX125" i="10"/>
  <c r="AG57" i="11" s="1"/>
  <c r="DU17" i="10"/>
  <c r="DW17" i="10"/>
  <c r="DU33" i="10"/>
  <c r="DW33" i="10"/>
  <c r="DW71" i="10"/>
  <c r="DU71" i="10"/>
  <c r="AG117" i="10"/>
  <c r="AA9" i="10"/>
  <c r="X14" i="10"/>
  <c r="AI60" i="10"/>
  <c r="U60" i="10" s="1"/>
  <c r="AH117" i="10"/>
  <c r="AH130" i="10"/>
  <c r="DT52" i="10"/>
  <c r="U52" i="10"/>
  <c r="DW83" i="10"/>
  <c r="DU83" i="10"/>
  <c r="G73" i="6"/>
  <c r="F33" i="13"/>
  <c r="DU40" i="10"/>
  <c r="DW40" i="10"/>
  <c r="AJ12" i="10"/>
  <c r="AF33" i="11"/>
  <c r="AF60" i="11" s="1"/>
  <c r="AG130" i="10"/>
  <c r="R117" i="10"/>
  <c r="DW48" i="10"/>
  <c r="DU48" i="10"/>
  <c r="AF117" i="10"/>
  <c r="C38" i="13"/>
  <c r="C53" i="11"/>
  <c r="C37" i="13"/>
  <c r="C52" i="11"/>
  <c r="H180" i="6"/>
  <c r="DU46" i="10"/>
  <c r="DW46" i="10"/>
  <c r="DU95" i="10"/>
  <c r="DW95" i="10"/>
  <c r="AE117" i="10"/>
  <c r="Z11" i="10"/>
  <c r="Z14" i="10" s="1"/>
  <c r="Z130" i="10"/>
  <c r="AA11" i="10"/>
  <c r="AA130" i="10"/>
  <c r="AB11" i="10"/>
  <c r="F12" i="10"/>
  <c r="C19" i="5" s="1"/>
  <c r="AJ117" i="10"/>
  <c r="AG131" i="10"/>
  <c r="DU56" i="10" l="1"/>
  <c r="C34" i="13"/>
  <c r="F34" i="13" s="1"/>
  <c r="G34" i="13" s="1"/>
  <c r="B17" i="2"/>
  <c r="C49" i="11"/>
  <c r="DU85" i="10"/>
  <c r="DW67" i="10"/>
  <c r="DW111" i="10"/>
  <c r="AO121" i="10"/>
  <c r="DU87" i="10"/>
  <c r="X57" i="11"/>
  <c r="DU99" i="10"/>
  <c r="DU63" i="10"/>
  <c r="AO122" i="10"/>
  <c r="DU68" i="10"/>
  <c r="DU112" i="10"/>
  <c r="DU75" i="10"/>
  <c r="AO120" i="10"/>
  <c r="DU59" i="10"/>
  <c r="X30" i="11"/>
  <c r="X31" i="11"/>
  <c r="C35" i="13"/>
  <c r="F35" i="13" s="1"/>
  <c r="G35" i="13" s="1"/>
  <c r="C50" i="11"/>
  <c r="T50" i="11" s="1"/>
  <c r="I73" i="6"/>
  <c r="DU58" i="10"/>
  <c r="DW57" i="10"/>
  <c r="DW61" i="10"/>
  <c r="AN14" i="10"/>
  <c r="DW106" i="10"/>
  <c r="DU55" i="10"/>
  <c r="DW109" i="10"/>
  <c r="DW64" i="10"/>
  <c r="DW100" i="10"/>
  <c r="DW62" i="10"/>
  <c r="AM14" i="10"/>
  <c r="DW102" i="10"/>
  <c r="V31" i="11"/>
  <c r="DW105" i="10"/>
  <c r="DW84" i="10"/>
  <c r="DW53" i="10"/>
  <c r="V30" i="11"/>
  <c r="DW72" i="10"/>
  <c r="DW65" i="10"/>
  <c r="DU54" i="10"/>
  <c r="DU51" i="10"/>
  <c r="I30" i="11"/>
  <c r="DU76" i="10"/>
  <c r="DW108" i="10"/>
  <c r="DW66" i="10"/>
  <c r="DU114" i="10"/>
  <c r="U30" i="11"/>
  <c r="J31" i="11"/>
  <c r="AN125" i="10"/>
  <c r="W30" i="11"/>
  <c r="Y30" i="11"/>
  <c r="Y31" i="11"/>
  <c r="AP125" i="10"/>
  <c r="J30" i="11"/>
  <c r="AH14" i="10"/>
  <c r="Z125" i="10"/>
  <c r="I57" i="11" s="1"/>
  <c r="DU91" i="10"/>
  <c r="DU96" i="10"/>
  <c r="DW96" i="10"/>
  <c r="G49" i="6"/>
  <c r="H49" i="6" s="1"/>
  <c r="B5" i="2"/>
  <c r="DU79" i="10"/>
  <c r="AW15" i="11"/>
  <c r="G48" i="6"/>
  <c r="H48" i="6" s="1"/>
  <c r="AF14" i="10"/>
  <c r="AG14" i="10"/>
  <c r="AL125" i="10"/>
  <c r="U57" i="11" s="1"/>
  <c r="AL14" i="10"/>
  <c r="DU88" i="10"/>
  <c r="DW88" i="10"/>
  <c r="N30" i="11"/>
  <c r="AE125" i="10"/>
  <c r="N31" i="11"/>
  <c r="F37" i="13"/>
  <c r="G37" i="13" s="1"/>
  <c r="D53" i="11"/>
  <c r="BG53" i="11"/>
  <c r="DW52" i="10"/>
  <c r="DU52" i="10"/>
  <c r="Q31" i="11"/>
  <c r="Q30" i="11"/>
  <c r="AH125" i="10"/>
  <c r="AA14" i="10"/>
  <c r="AA123" i="10"/>
  <c r="AA122" i="10"/>
  <c r="AA120" i="10"/>
  <c r="J57" i="11"/>
  <c r="AA121" i="10"/>
  <c r="AG33" i="11"/>
  <c r="AG60" i="11" s="1"/>
  <c r="T30" i="11"/>
  <c r="AK125" i="10"/>
  <c r="T31" i="11"/>
  <c r="F39" i="13"/>
  <c r="G39" i="13" s="1"/>
  <c r="BG55" i="11"/>
  <c r="D55" i="11"/>
  <c r="F36" i="13"/>
  <c r="AD131" i="10"/>
  <c r="AE12" i="10"/>
  <c r="AE14" i="10" s="1"/>
  <c r="DT69" i="10"/>
  <c r="AD117" i="10"/>
  <c r="U69" i="10"/>
  <c r="AB128" i="10"/>
  <c r="AC35" i="10"/>
  <c r="AC9" i="10" s="1"/>
  <c r="AB117" i="10"/>
  <c r="G57" i="11"/>
  <c r="X121" i="10"/>
  <c r="X123" i="10"/>
  <c r="X122" i="10"/>
  <c r="X120" i="10"/>
  <c r="DW113" i="10"/>
  <c r="DU113" i="10"/>
  <c r="AH30" i="11"/>
  <c r="AY125" i="10"/>
  <c r="AH57" i="11" s="1"/>
  <c r="DW81" i="10"/>
  <c r="DU81" i="10"/>
  <c r="O31" i="11"/>
  <c r="O30" i="11"/>
  <c r="AF125" i="10"/>
  <c r="S31" i="11"/>
  <c r="S30" i="11"/>
  <c r="AJ125" i="10"/>
  <c r="BG52" i="11"/>
  <c r="X52" i="11"/>
  <c r="V52" i="11"/>
  <c r="T52" i="11"/>
  <c r="R52" i="11"/>
  <c r="P52" i="11"/>
  <c r="N52" i="11"/>
  <c r="L52" i="11"/>
  <c r="J52" i="11"/>
  <c r="H52" i="11"/>
  <c r="D52" i="11"/>
  <c r="W52" i="11"/>
  <c r="S52" i="11"/>
  <c r="O52" i="11"/>
  <c r="K52" i="11"/>
  <c r="G52" i="11"/>
  <c r="U52" i="11"/>
  <c r="Q52" i="11"/>
  <c r="M52" i="11"/>
  <c r="I52" i="11"/>
  <c r="F38" i="13"/>
  <c r="G38" i="13" s="1"/>
  <c r="G33" i="13"/>
  <c r="AI117" i="10"/>
  <c r="AI130" i="10"/>
  <c r="AI11" i="10"/>
  <c r="AI14" i="10" s="1"/>
  <c r="AJ11" i="10"/>
  <c r="AJ14" i="10" s="1"/>
  <c r="DT60" i="10"/>
  <c r="P30" i="11"/>
  <c r="AG125" i="10"/>
  <c r="P31" i="11"/>
  <c r="BG54" i="11"/>
  <c r="D54" i="11"/>
  <c r="F40" i="13"/>
  <c r="G40" i="13" s="1"/>
  <c r="W51" i="11"/>
  <c r="U51" i="11"/>
  <c r="S51" i="11"/>
  <c r="Q51" i="11"/>
  <c r="O51" i="11"/>
  <c r="M51" i="11"/>
  <c r="K51" i="11"/>
  <c r="I51" i="11"/>
  <c r="G51" i="11"/>
  <c r="BG51" i="11"/>
  <c r="V51" i="11"/>
  <c r="R51" i="11"/>
  <c r="N51" i="11"/>
  <c r="J51" i="11"/>
  <c r="D51" i="11"/>
  <c r="X51" i="11"/>
  <c r="T51" i="11"/>
  <c r="P51" i="11"/>
  <c r="L51" i="11"/>
  <c r="H51" i="11"/>
  <c r="AM123" i="10"/>
  <c r="AM122" i="10"/>
  <c r="AM120" i="10"/>
  <c r="V57" i="11"/>
  <c r="AM121" i="10"/>
  <c r="DU93" i="10"/>
  <c r="DW93" i="10"/>
  <c r="AK14" i="10"/>
  <c r="AB14" i="10"/>
  <c r="H57" i="11"/>
  <c r="Y123" i="10"/>
  <c r="Y122" i="10"/>
  <c r="Y120" i="10"/>
  <c r="Y121" i="10"/>
  <c r="BG49" i="11" l="1"/>
  <c r="D49" i="11"/>
  <c r="BB49" i="11" s="1"/>
  <c r="BB33" i="11" s="1"/>
  <c r="F49" i="11"/>
  <c r="C22" i="11"/>
  <c r="B16" i="2"/>
  <c r="B5" i="13"/>
  <c r="B8" i="13" s="1"/>
  <c r="X50" i="11"/>
  <c r="M50" i="11"/>
  <c r="V50" i="11"/>
  <c r="D50" i="11"/>
  <c r="Q50" i="11"/>
  <c r="K50" i="11"/>
  <c r="N50" i="11"/>
  <c r="H50" i="11"/>
  <c r="U50" i="11"/>
  <c r="S50" i="11"/>
  <c r="J50" i="11"/>
  <c r="R50" i="11"/>
  <c r="BG50" i="11"/>
  <c r="I50" i="11"/>
  <c r="O50" i="11"/>
  <c r="P50" i="11"/>
  <c r="G50" i="11"/>
  <c r="W50" i="11"/>
  <c r="L50" i="11"/>
  <c r="C42" i="13"/>
  <c r="F42" i="13" s="1"/>
  <c r="Z121" i="10"/>
  <c r="DT12" i="10"/>
  <c r="C56" i="11"/>
  <c r="Z122" i="10"/>
  <c r="C30" i="11"/>
  <c r="BG30" i="11" s="1"/>
  <c r="C41" i="13"/>
  <c r="F41" i="13" s="1"/>
  <c r="G41" i="13" s="1"/>
  <c r="Z120" i="10"/>
  <c r="Z123" i="10"/>
  <c r="B8" i="12"/>
  <c r="AN121" i="10"/>
  <c r="AN122" i="10"/>
  <c r="W57" i="11"/>
  <c r="AN123" i="10"/>
  <c r="AN120" i="10"/>
  <c r="AP121" i="10"/>
  <c r="AP122" i="10"/>
  <c r="Y57" i="11"/>
  <c r="AP123" i="10"/>
  <c r="AP120" i="10"/>
  <c r="AL122" i="10"/>
  <c r="C57" i="11"/>
  <c r="BG57" i="11" s="1"/>
  <c r="AL121" i="10"/>
  <c r="W125" i="10"/>
  <c r="H42" i="6"/>
  <c r="G53" i="6" s="1"/>
  <c r="H53" i="6" s="1"/>
  <c r="AL120" i="10"/>
  <c r="AL123" i="10"/>
  <c r="AX15" i="11"/>
  <c r="AC14" i="10"/>
  <c r="BE51" i="11"/>
  <c r="O57" i="11"/>
  <c r="AF121" i="10"/>
  <c r="AF123" i="10"/>
  <c r="AF122" i="10"/>
  <c r="AF120" i="10"/>
  <c r="DU69" i="10"/>
  <c r="DW69" i="10"/>
  <c r="G36" i="13"/>
  <c r="T57" i="11"/>
  <c r="AK123" i="10"/>
  <c r="AK122" i="10"/>
  <c r="AK120" i="10"/>
  <c r="AK121" i="10"/>
  <c r="Q57" i="11"/>
  <c r="AH121" i="10"/>
  <c r="AH123" i="10"/>
  <c r="AH122" i="10"/>
  <c r="AH120" i="10"/>
  <c r="AE123" i="10"/>
  <c r="AE122" i="10"/>
  <c r="AE120" i="10"/>
  <c r="N57" i="11"/>
  <c r="AE121" i="10"/>
  <c r="DT11" i="10"/>
  <c r="X54" i="11"/>
  <c r="V54" i="11"/>
  <c r="T54" i="11"/>
  <c r="R54" i="11"/>
  <c r="P54" i="11"/>
  <c r="N54" i="11"/>
  <c r="L54" i="11"/>
  <c r="J54" i="11"/>
  <c r="H54" i="11"/>
  <c r="U54" i="11"/>
  <c r="Q54" i="11"/>
  <c r="M54" i="11"/>
  <c r="I54" i="11"/>
  <c r="W54" i="11"/>
  <c r="S54" i="11"/>
  <c r="O54" i="11"/>
  <c r="K54" i="11"/>
  <c r="G54" i="11"/>
  <c r="P57" i="11"/>
  <c r="AG123" i="10"/>
  <c r="AG122" i="10"/>
  <c r="AG120" i="10"/>
  <c r="AG121" i="10"/>
  <c r="DW60" i="10"/>
  <c r="DU60" i="10"/>
  <c r="R30" i="11"/>
  <c r="AI125" i="10"/>
  <c r="R31" i="11"/>
  <c r="BE52" i="11"/>
  <c r="S57" i="11"/>
  <c r="AJ121" i="10"/>
  <c r="AJ123" i="10"/>
  <c r="AJ122" i="10"/>
  <c r="AJ120" i="10"/>
  <c r="AH33" i="11"/>
  <c r="AH60" i="11" s="1"/>
  <c r="K31" i="11"/>
  <c r="K30" i="11"/>
  <c r="AB125" i="10"/>
  <c r="AC128" i="10"/>
  <c r="AD9" i="10"/>
  <c r="AD14" i="10" s="1"/>
  <c r="AC117" i="10"/>
  <c r="DT35" i="10"/>
  <c r="U35" i="10"/>
  <c r="M31" i="11"/>
  <c r="M30" i="11"/>
  <c r="AD125" i="10"/>
  <c r="W55" i="11"/>
  <c r="U55" i="11"/>
  <c r="S55" i="11"/>
  <c r="Q55" i="11"/>
  <c r="O55" i="11"/>
  <c r="M55" i="11"/>
  <c r="K55" i="11"/>
  <c r="I55" i="11"/>
  <c r="G55" i="11"/>
  <c r="X55" i="11"/>
  <c r="T55" i="11"/>
  <c r="P55" i="11"/>
  <c r="L55" i="11"/>
  <c r="H55" i="11"/>
  <c r="V55" i="11"/>
  <c r="R55" i="11"/>
  <c r="N55" i="11"/>
  <c r="J55" i="11"/>
  <c r="Y53" i="11"/>
  <c r="W53" i="11"/>
  <c r="U53" i="11"/>
  <c r="S53" i="11"/>
  <c r="Q53" i="11"/>
  <c r="O53" i="11"/>
  <c r="M53" i="11"/>
  <c r="K53" i="11"/>
  <c r="I53" i="11"/>
  <c r="G53" i="11"/>
  <c r="Z53" i="11"/>
  <c r="V53" i="11"/>
  <c r="R53" i="11"/>
  <c r="N53" i="11"/>
  <c r="J53" i="11"/>
  <c r="X53" i="11"/>
  <c r="T53" i="11"/>
  <c r="P53" i="11"/>
  <c r="L53" i="11"/>
  <c r="H53" i="11"/>
  <c r="B46" i="2" l="1"/>
  <c r="B37" i="2"/>
  <c r="D22" i="11"/>
  <c r="C20" i="11"/>
  <c r="F33" i="11"/>
  <c r="BE49" i="11"/>
  <c r="BE50" i="11"/>
  <c r="BI50" i="11" s="1"/>
  <c r="BG56" i="11"/>
  <c r="B7" i="11"/>
  <c r="D56" i="11"/>
  <c r="V56" i="11" s="1"/>
  <c r="D57" i="11"/>
  <c r="AY15" i="11"/>
  <c r="BE54" i="11"/>
  <c r="BJ54" i="11" s="1"/>
  <c r="Y33" i="11"/>
  <c r="BE55" i="11"/>
  <c r="M57" i="11"/>
  <c r="AD121" i="10"/>
  <c r="AD123" i="10"/>
  <c r="AD122" i="10"/>
  <c r="AD120" i="10"/>
  <c r="DU35" i="10"/>
  <c r="DW35" i="10"/>
  <c r="DT117" i="10"/>
  <c r="DW117" i="10" s="1"/>
  <c r="K57" i="11"/>
  <c r="AB121" i="10"/>
  <c r="AB123" i="10"/>
  <c r="AB122" i="10"/>
  <c r="AB120" i="10"/>
  <c r="BJ51" i="11"/>
  <c r="BI51" i="11"/>
  <c r="DT9" i="10"/>
  <c r="DT14" i="10" s="1"/>
  <c r="Z33" i="11"/>
  <c r="BE53" i="11"/>
  <c r="L30" i="11"/>
  <c r="BE30" i="11" s="1"/>
  <c r="AC125" i="10"/>
  <c r="DT125" i="10" s="1"/>
  <c r="DU125" i="10" s="1"/>
  <c r="L31" i="11"/>
  <c r="D31" i="11" s="1"/>
  <c r="G42" i="13"/>
  <c r="BJ52" i="11"/>
  <c r="BI52" i="11"/>
  <c r="AI123" i="10"/>
  <c r="AI122" i="10"/>
  <c r="AI120" i="10"/>
  <c r="R57" i="11"/>
  <c r="AI121" i="10"/>
  <c r="F60" i="11" l="1"/>
  <c r="C14" i="12" s="1"/>
  <c r="E14" i="12" s="1"/>
  <c r="BJ49" i="11"/>
  <c r="BI49" i="11"/>
  <c r="BJ50" i="11"/>
  <c r="P56" i="11"/>
  <c r="I56" i="11"/>
  <c r="K56" i="11"/>
  <c r="H56" i="11"/>
  <c r="X56" i="11"/>
  <c r="S56" i="11"/>
  <c r="Q56" i="11"/>
  <c r="L56" i="11"/>
  <c r="T56" i="11"/>
  <c r="G56" i="11"/>
  <c r="O56" i="11"/>
  <c r="W56" i="11"/>
  <c r="M56" i="11"/>
  <c r="U56" i="11"/>
  <c r="J56" i="11"/>
  <c r="N56" i="11"/>
  <c r="R56" i="11"/>
  <c r="BI54" i="11"/>
  <c r="AZ15" i="11"/>
  <c r="BJ53" i="11"/>
  <c r="BI53" i="11"/>
  <c r="BE31" i="11"/>
  <c r="BJ55" i="11"/>
  <c r="BI55" i="11"/>
  <c r="D30" i="11"/>
  <c r="L57" i="11"/>
  <c r="BE57" i="11" s="1"/>
  <c r="AC123" i="10"/>
  <c r="AC122" i="10"/>
  <c r="AC120" i="10"/>
  <c r="DT120" i="10" s="1"/>
  <c r="AC121" i="10"/>
  <c r="DT121" i="10" s="1"/>
  <c r="Z60" i="11"/>
  <c r="Y60" i="11"/>
  <c r="BE56" i="11" l="1"/>
  <c r="BJ56" i="11" s="1"/>
  <c r="BA15" i="11"/>
  <c r="BJ57" i="11"/>
  <c r="BI57" i="11"/>
  <c r="C63" i="12"/>
  <c r="E63" i="12" s="1"/>
  <c r="C33" i="12"/>
  <c r="E33" i="12" s="1"/>
  <c r="C34" i="12"/>
  <c r="E34" i="12" s="1"/>
  <c r="C64" i="12"/>
  <c r="E64" i="12" s="1"/>
  <c r="BI56" i="11" l="1"/>
  <c r="BB15" i="11"/>
  <c r="B13" i="2" l="1"/>
  <c r="B32" i="2" l="1"/>
  <c r="B20" i="2"/>
  <c r="B29" i="2"/>
  <c r="B45" i="2"/>
  <c r="B47" i="2" s="1"/>
  <c r="C25" i="11"/>
  <c r="D25" i="11" l="1"/>
  <c r="D18" i="11" s="1"/>
  <c r="C24" i="11"/>
  <c r="C18" i="11" s="1"/>
  <c r="C28" i="5"/>
  <c r="C18" i="2"/>
  <c r="C19" i="2"/>
  <c r="C14" i="2"/>
  <c r="C17" i="2"/>
  <c r="C15" i="2"/>
  <c r="C13" i="2" l="1"/>
  <c r="B7" i="12"/>
  <c r="C44" i="12"/>
  <c r="E17" i="2"/>
  <c r="C16" i="2"/>
  <c r="C24" i="2" l="1"/>
  <c r="E44" i="12"/>
  <c r="C20" i="2"/>
  <c r="E13" i="2"/>
  <c r="E20" i="2" s="1"/>
  <c r="C23" i="2"/>
  <c r="C25" i="2" l="1"/>
  <c r="H22" i="6"/>
  <c r="F181" i="6" l="1"/>
  <c r="F182" i="6" s="1"/>
  <c r="H54" i="6"/>
  <c r="B6" i="13" s="1"/>
  <c r="H51" i="6"/>
  <c r="H181" i="6" l="1"/>
  <c r="H182" i="6" s="1"/>
  <c r="G182" i="6" s="1"/>
  <c r="I8" i="6"/>
  <c r="I17" i="6"/>
  <c r="I39" i="6"/>
  <c r="I43" i="6"/>
  <c r="I32" i="6"/>
  <c r="C6" i="5"/>
  <c r="I49" i="6"/>
  <c r="I36" i="6"/>
  <c r="I18" i="6"/>
  <c r="B6" i="2"/>
  <c r="B9" i="12"/>
  <c r="B10" i="12" s="1"/>
  <c r="I16" i="6"/>
  <c r="I9" i="6"/>
  <c r="I46" i="6"/>
  <c r="I15" i="6"/>
  <c r="I41" i="6"/>
  <c r="I48" i="6"/>
  <c r="I35" i="6"/>
  <c r="I13" i="6"/>
  <c r="I53" i="6"/>
  <c r="I24" i="6"/>
  <c r="I38" i="6"/>
  <c r="I34" i="6"/>
  <c r="I20" i="6"/>
  <c r="I6" i="6"/>
  <c r="I11" i="6"/>
  <c r="I45" i="6"/>
  <c r="I33" i="6"/>
  <c r="I25" i="6"/>
  <c r="I37" i="6"/>
  <c r="I26" i="6"/>
  <c r="I10" i="6"/>
  <c r="I14" i="6"/>
  <c r="I40" i="6"/>
  <c r="I52" i="6"/>
  <c r="I19" i="6"/>
  <c r="I44" i="6"/>
  <c r="I12" i="6"/>
  <c r="I47" i="6"/>
  <c r="I51" i="6"/>
  <c r="C58" i="11"/>
  <c r="C43" i="13"/>
  <c r="D17" i="2" l="1"/>
  <c r="B44" i="2"/>
  <c r="B48" i="2" s="1"/>
  <c r="D15" i="2"/>
  <c r="D13" i="2"/>
  <c r="D16" i="2"/>
  <c r="D14" i="2"/>
  <c r="B7" i="2"/>
  <c r="C5" i="5"/>
  <c r="C21" i="5" s="1"/>
  <c r="C24" i="5" s="1"/>
  <c r="C32" i="5" s="1"/>
  <c r="C45" i="2"/>
  <c r="C52" i="2" s="1"/>
  <c r="D19" i="2"/>
  <c r="D18" i="2"/>
  <c r="I42" i="6"/>
  <c r="I31" i="6"/>
  <c r="I23" i="6"/>
  <c r="E181" i="6"/>
  <c r="I180" i="6"/>
  <c r="E179" i="6"/>
  <c r="E180" i="6"/>
  <c r="F185" i="6"/>
  <c r="G185" i="6" s="1"/>
  <c r="E182" i="6"/>
  <c r="I179" i="6"/>
  <c r="G179" i="6"/>
  <c r="I182" i="6"/>
  <c r="G180" i="6"/>
  <c r="G181" i="6"/>
  <c r="BG58" i="11"/>
  <c r="C48" i="11"/>
  <c r="D58" i="11"/>
  <c r="D33" i="11" s="1"/>
  <c r="C33" i="11"/>
  <c r="V58" i="11"/>
  <c r="K58" i="11"/>
  <c r="J58" i="11"/>
  <c r="R58" i="11"/>
  <c r="T58" i="11"/>
  <c r="H58" i="11"/>
  <c r="Q58" i="11"/>
  <c r="I58" i="11"/>
  <c r="M58" i="11"/>
  <c r="L58" i="11"/>
  <c r="X58" i="11"/>
  <c r="S58" i="11"/>
  <c r="U58" i="11"/>
  <c r="O58" i="11"/>
  <c r="P58" i="11"/>
  <c r="N58" i="11"/>
  <c r="W58" i="11"/>
  <c r="G58" i="11"/>
  <c r="I181" i="6"/>
  <c r="C45" i="13"/>
  <c r="F43" i="13"/>
  <c r="G43" i="13" s="1"/>
  <c r="G45" i="13" s="1"/>
  <c r="B10" i="13" s="1"/>
  <c r="C25" i="5" l="1"/>
  <c r="C31" i="5" s="1"/>
  <c r="B24" i="2"/>
  <c r="C46" i="2"/>
  <c r="C53" i="2" s="1"/>
  <c r="B33" i="2"/>
  <c r="B34" i="2" s="1"/>
  <c r="B38" i="2"/>
  <c r="B39" i="2" s="1"/>
  <c r="B9" i="2"/>
  <c r="B10" i="2"/>
  <c r="B23" i="2"/>
  <c r="B25" i="2" s="1"/>
  <c r="H46" i="2"/>
  <c r="D20" i="2"/>
  <c r="I22" i="6"/>
  <c r="F45" i="13"/>
  <c r="B9" i="13"/>
  <c r="W33" i="11"/>
  <c r="P33" i="11"/>
  <c r="U33" i="11"/>
  <c r="X33" i="11"/>
  <c r="M33" i="11"/>
  <c r="I33" i="11"/>
  <c r="H33" i="11"/>
  <c r="R33" i="11"/>
  <c r="K33" i="11"/>
  <c r="B8" i="11"/>
  <c r="B9" i="11" s="1"/>
  <c r="BG33" i="11"/>
  <c r="C33" i="5"/>
  <c r="E46" i="2"/>
  <c r="E53" i="2" s="1"/>
  <c r="B51" i="2"/>
  <c r="D45" i="2"/>
  <c r="BE58" i="11"/>
  <c r="G33" i="11"/>
  <c r="N33" i="11"/>
  <c r="O33" i="11"/>
  <c r="S33" i="11"/>
  <c r="L33" i="11"/>
  <c r="Q33" i="11"/>
  <c r="T33" i="11"/>
  <c r="J33" i="11"/>
  <c r="V33" i="11"/>
  <c r="H45" i="2" l="1"/>
  <c r="B28" i="2"/>
  <c r="B30" i="2" s="1"/>
  <c r="V60" i="11"/>
  <c r="L60" i="11"/>
  <c r="S60" i="11"/>
  <c r="O60" i="11"/>
  <c r="N60" i="11"/>
  <c r="BE33" i="11"/>
  <c r="G60" i="11"/>
  <c r="BJ58" i="11"/>
  <c r="BI58" i="11"/>
  <c r="D52" i="2"/>
  <c r="F52" i="2" s="1"/>
  <c r="G52" i="2" s="1"/>
  <c r="F45" i="2"/>
  <c r="G45" i="2" s="1"/>
  <c r="F46" i="2"/>
  <c r="G46" i="2" s="1"/>
  <c r="B11" i="13"/>
  <c r="J60" i="11"/>
  <c r="T60" i="11"/>
  <c r="Q60" i="11"/>
  <c r="K60" i="11"/>
  <c r="R60" i="11"/>
  <c r="H60" i="11"/>
  <c r="I60" i="11"/>
  <c r="M60" i="11"/>
  <c r="X60" i="11"/>
  <c r="U60" i="11"/>
  <c r="P60" i="11"/>
  <c r="W60" i="11"/>
  <c r="F53" i="2"/>
  <c r="G53" i="2" s="1"/>
  <c r="C31" i="12" l="1"/>
  <c r="E31" i="12" s="1"/>
  <c r="C61" i="12"/>
  <c r="E61" i="12" s="1"/>
  <c r="C54" i="12"/>
  <c r="E54" i="12" s="1"/>
  <c r="C24" i="12"/>
  <c r="E24" i="12" s="1"/>
  <c r="C29" i="12"/>
  <c r="E29" i="12" s="1"/>
  <c r="C59" i="12"/>
  <c r="E59" i="12" s="1"/>
  <c r="C32" i="12"/>
  <c r="E32" i="12" s="1"/>
  <c r="C62" i="12"/>
  <c r="E62" i="12" s="1"/>
  <c r="C51" i="12"/>
  <c r="E51" i="12" s="1"/>
  <c r="C21" i="12"/>
  <c r="E21" i="12" s="1"/>
  <c r="C17" i="12"/>
  <c r="E17" i="12" s="1"/>
  <c r="C47" i="12"/>
  <c r="E47" i="12" s="1"/>
  <c r="C16" i="12"/>
  <c r="E16" i="12" s="1"/>
  <c r="C46" i="12"/>
  <c r="E46" i="12" s="1"/>
  <c r="C56" i="12"/>
  <c r="E56" i="12" s="1"/>
  <c r="C26" i="12"/>
  <c r="E26" i="12" s="1"/>
  <c r="C55" i="12"/>
  <c r="E55" i="12" s="1"/>
  <c r="C25" i="12"/>
  <c r="E25" i="12" s="1"/>
  <c r="C58" i="12"/>
  <c r="E58" i="12" s="1"/>
  <c r="C28" i="12"/>
  <c r="E28" i="12" s="1"/>
  <c r="C18" i="12"/>
  <c r="E18" i="12" s="1"/>
  <c r="C48" i="12"/>
  <c r="E48" i="12" s="1"/>
  <c r="B12" i="13"/>
  <c r="B50" i="13"/>
  <c r="B51" i="13"/>
  <c r="C49" i="13"/>
  <c r="D51" i="13"/>
  <c r="D49" i="13"/>
  <c r="B49" i="13"/>
  <c r="C51" i="13"/>
  <c r="D50" i="13"/>
  <c r="BJ33" i="11"/>
  <c r="BI33" i="11"/>
  <c r="C22" i="12"/>
  <c r="E22" i="12" s="1"/>
  <c r="C52" i="12"/>
  <c r="E52" i="12" s="1"/>
  <c r="C53" i="12"/>
  <c r="E53" i="12" s="1"/>
  <c r="C23" i="12"/>
  <c r="E23" i="12" s="1"/>
  <c r="C27" i="12"/>
  <c r="E27" i="12" s="1"/>
  <c r="C57" i="12"/>
  <c r="E57" i="12" s="1"/>
  <c r="C20" i="12"/>
  <c r="E20" i="12" s="1"/>
  <c r="C50" i="12"/>
  <c r="E50" i="12" s="1"/>
  <c r="C30" i="12"/>
  <c r="E30" i="12" s="1"/>
  <c r="C60" i="12"/>
  <c r="E60" i="12" s="1"/>
  <c r="C49" i="12"/>
  <c r="E49" i="12" s="1"/>
  <c r="C19" i="12"/>
  <c r="E19" i="12" s="1"/>
  <c r="BE60" i="11"/>
  <c r="C15" i="12"/>
  <c r="C45" i="12"/>
  <c r="D77" i="12" l="1"/>
  <c r="B67" i="12"/>
  <c r="B68" i="12" s="1"/>
  <c r="D78" i="12"/>
  <c r="E45" i="12"/>
  <c r="B66" i="12" s="1"/>
  <c r="B69" i="12" s="1"/>
  <c r="D74" i="12"/>
  <c r="D75" i="12"/>
  <c r="D76" i="12"/>
  <c r="C77" i="12"/>
  <c r="C76" i="12"/>
  <c r="C74" i="12"/>
  <c r="C78" i="12"/>
  <c r="C75" i="12"/>
  <c r="B37" i="12"/>
  <c r="B38" i="12" s="1"/>
  <c r="E15" i="12"/>
  <c r="B36" i="12" s="1"/>
  <c r="B13" i="13"/>
  <c r="B14" i="13"/>
  <c r="B16" i="13" l="1"/>
  <c r="C50" i="13"/>
  <c r="B15" i="13"/>
  <c r="B17" i="13"/>
  <c r="B18" i="13" s="1"/>
  <c r="B39" i="12"/>
</calcChain>
</file>

<file path=xl/comments1.xml><?xml version="1.0" encoding="utf-8"?>
<comments xmlns="http://schemas.openxmlformats.org/spreadsheetml/2006/main">
  <authors>
    <author>OpenAI</author>
  </authors>
  <commentList>
    <comment ref="C23" authorId="0" shapeId="0">
      <text>
        <r>
          <rPr>
            <sz val="11"/>
            <color theme="1"/>
            <rFont val="Calibri"/>
            <family val="2"/>
            <charset val="1"/>
          </rPr>
          <t>Fórmula heredada del archivo fuente contenía #REF! y fue neutralizada a 0 para evitar errores de apertura/cálculo. No se utiliza en el análisis de escenarios. Fórmula original: =#REF!*C18</t>
        </r>
      </text>
    </comment>
  </commentList>
</comments>
</file>

<file path=xl/sharedStrings.xml><?xml version="1.0" encoding="utf-8"?>
<sst xmlns="http://schemas.openxmlformats.org/spreadsheetml/2006/main" count="951" uniqueCount="602">
  <si>
    <t>RESULTADOS</t>
  </si>
  <si>
    <t>PARAMETROS DEL PROYECTO</t>
  </si>
  <si>
    <t>PUNTO DE EQUILIBRIO</t>
  </si>
  <si>
    <t>PRESUPUESTO GENERAL</t>
  </si>
  <si>
    <t>FLUJO DE CAJA</t>
  </si>
  <si>
    <t>FLUJO DE INGRESOS</t>
  </si>
  <si>
    <t>CRONOGRAMA VALORADO</t>
  </si>
  <si>
    <t>Nombre del Proyecto</t>
  </si>
  <si>
    <t>Proyecto de Vivienda de Interes Social URIN CHILLO LOTE "A"</t>
  </si>
  <si>
    <t>Datos Generales del Proyecto</t>
  </si>
  <si>
    <t>Valor</t>
  </si>
  <si>
    <t>Ingresos</t>
  </si>
  <si>
    <t>Costos</t>
  </si>
  <si>
    <t>Resultados del Proyecto</t>
  </si>
  <si>
    <t>Rentabilidad sobre Costos</t>
  </si>
  <si>
    <t>Participaciones</t>
  </si>
  <si>
    <t>Nombre</t>
  </si>
  <si>
    <t>%</t>
  </si>
  <si>
    <t>Total Aportes CONSTRUCTOR</t>
  </si>
  <si>
    <t>CONSTRUCTOR</t>
  </si>
  <si>
    <t>Terreno</t>
  </si>
  <si>
    <t>Efectivo</t>
  </si>
  <si>
    <t>Total Aportes EPHVR</t>
  </si>
  <si>
    <t>Aporte (Estudios)</t>
  </si>
  <si>
    <t>EPHVR</t>
  </si>
  <si>
    <t>Aportes (Terreno)</t>
  </si>
  <si>
    <t>Aporte Honorarios</t>
  </si>
  <si>
    <t>Total Aportes</t>
  </si>
  <si>
    <t>Utilidades</t>
  </si>
  <si>
    <t>Total</t>
  </si>
  <si>
    <t>Utilidades Vs Aportes Biess</t>
  </si>
  <si>
    <t>Utilidad</t>
  </si>
  <si>
    <t>Aportes</t>
  </si>
  <si>
    <t>APORTE</t>
  </si>
  <si>
    <t>UTILIDAD</t>
  </si>
  <si>
    <t>RENTABILIDAD SOBRE INVERSION</t>
  </si>
  <si>
    <t>Ingresos totales</t>
  </si>
  <si>
    <t>Costo total del proyecto</t>
  </si>
  <si>
    <t>Rubro</t>
  </si>
  <si>
    <t>Gastos legales</t>
  </si>
  <si>
    <t>Administración fiduciaria</t>
  </si>
  <si>
    <t>Gerencia técnica</t>
  </si>
  <si>
    <t>Fiscalización</t>
  </si>
  <si>
    <t>Promoción y publicidad</t>
  </si>
  <si>
    <t>Clasificación</t>
  </si>
  <si>
    <t>Urbanización</t>
  </si>
  <si>
    <t>Infraestructura comunal</t>
  </si>
  <si>
    <t>Redes eléctricas</t>
  </si>
  <si>
    <t>Redes hidrosanitarias</t>
  </si>
  <si>
    <t>Redes especiales</t>
  </si>
  <si>
    <t>Obras exteriores</t>
  </si>
  <si>
    <t>IVA</t>
  </si>
  <si>
    <t>Planificación / estudios</t>
  </si>
  <si>
    <t>Periodo</t>
  </si>
  <si>
    <t>Fecha</t>
  </si>
  <si>
    <t>TOTAL</t>
  </si>
  <si>
    <t>Inversion Total</t>
  </si>
  <si>
    <t>COSTO  PROMEDIO M2 CONSTRUIDO:</t>
  </si>
  <si>
    <t>NÚMERO DE UNID VENTA CASAS TIPO A</t>
  </si>
  <si>
    <t>NÚMERO DE UNID VENTA CASAS TIPO B</t>
  </si>
  <si>
    <t>DEPARTAMENTOS TIPO C</t>
  </si>
  <si>
    <t xml:space="preserve">LOCALES COMERCIALES </t>
  </si>
  <si>
    <t>AREA PROMEDIO CASAS TIPO A</t>
  </si>
  <si>
    <t>AREA PROMEDIO CASAS TIPO B</t>
  </si>
  <si>
    <t>AREA PROMEDIO DEPARTAMENTOS</t>
  </si>
  <si>
    <t>TOTAL M2 DE VENTA</t>
  </si>
  <si>
    <t xml:space="preserve">AREA DE TERRENO </t>
  </si>
  <si>
    <t>PRECIO PROMEDIO VENTA M2 :</t>
  </si>
  <si>
    <t>PRECIO VENTA(CASAS+DEPART) Promedio</t>
  </si>
  <si>
    <t>INTERES GANADO</t>
  </si>
  <si>
    <t xml:space="preserve"> COSTO(CASAS + DEPARTAMENTO) Promedio</t>
  </si>
  <si>
    <t xml:space="preserve"> COSTO(CASA TIPO 2)</t>
  </si>
  <si>
    <t xml:space="preserve"> COSTO(DEPA)</t>
  </si>
  <si>
    <t>UTILIDAD POR VIVIENDA</t>
  </si>
  <si>
    <t>UTILIDAD TOTAL ESPERADA</t>
  </si>
  <si>
    <t>DURACION DEL PROYECTO</t>
  </si>
  <si>
    <t>MONTO DEL APALANCAMIENTO</t>
  </si>
  <si>
    <t>RENTABILIDAD SOBRE COSTO</t>
  </si>
  <si>
    <t>RENTABILIDAD SOBRE VENTAS</t>
  </si>
  <si>
    <t>RENTABILIDAD SOBRE CAPITAL FINANCIADO</t>
  </si>
  <si>
    <t>NUMERO</t>
  </si>
  <si>
    <t>ITEM</t>
  </si>
  <si>
    <t>Unidad</t>
  </si>
  <si>
    <t>Cantidad</t>
  </si>
  <si>
    <t>Costo Unitario (USD)</t>
  </si>
  <si>
    <t>TOTAL (USD)</t>
  </si>
  <si>
    <t>% / Costo Total</t>
  </si>
  <si>
    <t>TERRENO</t>
  </si>
  <si>
    <t>m2</t>
  </si>
  <si>
    <t>COSTO DIRECTO</t>
  </si>
  <si>
    <t>U</t>
  </si>
  <si>
    <t>2.1</t>
  </si>
  <si>
    <t>2.2</t>
  </si>
  <si>
    <t>Construcción</t>
  </si>
  <si>
    <t>2.2.1</t>
  </si>
  <si>
    <t>Construcción de viviendas tipología A (16 U.V)</t>
  </si>
  <si>
    <t>2.2.2</t>
  </si>
  <si>
    <t>Construcción de viviendas tipología B (36 U.V)</t>
  </si>
  <si>
    <t>2.2.3</t>
  </si>
  <si>
    <t>Construcción de viviendas tipología C (48 U.V)</t>
  </si>
  <si>
    <t>2.3</t>
  </si>
  <si>
    <t>2.4</t>
  </si>
  <si>
    <t>Redes eléctricas.</t>
  </si>
  <si>
    <t>m</t>
  </si>
  <si>
    <t>2.5</t>
  </si>
  <si>
    <t>Redes hidrosanitarias.</t>
  </si>
  <si>
    <t>2.6</t>
  </si>
  <si>
    <t>Redes Especiales</t>
  </si>
  <si>
    <t>2.7</t>
  </si>
  <si>
    <t>2.8</t>
  </si>
  <si>
    <t>IMPREVISTOS</t>
  </si>
  <si>
    <t>2.9</t>
  </si>
  <si>
    <t>I.V.A.</t>
  </si>
  <si>
    <t>COSTO INDIRECTO</t>
  </si>
  <si>
    <t>-</t>
  </si>
  <si>
    <t>3.1</t>
  </si>
  <si>
    <t>PLANIFICACION</t>
  </si>
  <si>
    <t>3.1.1</t>
  </si>
  <si>
    <t>Estudios del Proyecto (lote A y Lote B)</t>
  </si>
  <si>
    <t>3.1.2</t>
  </si>
  <si>
    <t>Estudio de Mercado</t>
  </si>
  <si>
    <t>3.1.3</t>
  </si>
  <si>
    <t>Declaratoria de PH</t>
  </si>
  <si>
    <t>3.1.4</t>
  </si>
  <si>
    <t>3.1.5</t>
  </si>
  <si>
    <t>3.1.6</t>
  </si>
  <si>
    <t>3.1.7</t>
  </si>
  <si>
    <t>3.2</t>
  </si>
  <si>
    <t>IMPUESTOS -TASAS - GARANTIAS</t>
  </si>
  <si>
    <t>3.2.1</t>
  </si>
  <si>
    <t>Patente / 1.5 x 1.000</t>
  </si>
  <si>
    <t>3.2.2</t>
  </si>
  <si>
    <t>Cuerpo de Bomberos (Aprobación de planos)</t>
  </si>
  <si>
    <t>u</t>
  </si>
  <si>
    <t>3.2.3</t>
  </si>
  <si>
    <t>Impuestos de Aprobación (Municipio)</t>
  </si>
  <si>
    <t>3.2.4</t>
  </si>
  <si>
    <t>Fondo de Garantía (Póliza)</t>
  </si>
  <si>
    <t>3.2.5</t>
  </si>
  <si>
    <t>Alcantarillado (Acometida)</t>
  </si>
  <si>
    <t>3.2.6</t>
  </si>
  <si>
    <t>Empresa Eléctrica (Acometida)</t>
  </si>
  <si>
    <t>3.2.7</t>
  </si>
  <si>
    <t>CNT (Acometida)</t>
  </si>
  <si>
    <t>3.2.8</t>
  </si>
  <si>
    <t>Impuesto Predial</t>
  </si>
  <si>
    <t>3.2.9</t>
  </si>
  <si>
    <t>Garantías</t>
  </si>
  <si>
    <t>3.3</t>
  </si>
  <si>
    <t>HONORARIOS</t>
  </si>
  <si>
    <t>3.3.1</t>
  </si>
  <si>
    <t>Gastos Legales</t>
  </si>
  <si>
    <t>3.3.2</t>
  </si>
  <si>
    <t>Administrativos de Construcción</t>
  </si>
  <si>
    <t>3.3.3</t>
  </si>
  <si>
    <t>Administración Fiduciaria</t>
  </si>
  <si>
    <t>3.3.4</t>
  </si>
  <si>
    <t>Gerencia Técnica</t>
  </si>
  <si>
    <t>3.3.5</t>
  </si>
  <si>
    <t>3.3.6</t>
  </si>
  <si>
    <t>Promoción y Publicidad</t>
  </si>
  <si>
    <t>3.3.7</t>
  </si>
  <si>
    <t>Comisión de Ventas</t>
  </si>
  <si>
    <t>3.4</t>
  </si>
  <si>
    <t>COSTO FINANCIERO</t>
  </si>
  <si>
    <t>3.4.1</t>
  </si>
  <si>
    <t>Costos Financieros</t>
  </si>
  <si>
    <t>TOTAL PRESUPUESTO</t>
  </si>
  <si>
    <t xml:space="preserve">RESUMEN DE INGRESOS </t>
  </si>
  <si>
    <t>TIPO INMUEBLE</t>
  </si>
  <si>
    <t>m2 CASA</t>
  </si>
  <si>
    <t>m2 JARDIN</t>
  </si>
  <si>
    <t>VTAS. REALIZADAS</t>
  </si>
  <si>
    <t>VTAS. POR REALIZAR</t>
  </si>
  <si>
    <t>Unidades</t>
  </si>
  <si>
    <t>CASAS</t>
  </si>
  <si>
    <t>Total Ingresos</t>
  </si>
  <si>
    <t xml:space="preserve">RESUMEN DE EGRESOS </t>
  </si>
  <si>
    <t>RUBRO</t>
  </si>
  <si>
    <t>EJECUTADO</t>
  </si>
  <si>
    <t>POR EJECUTAR</t>
  </si>
  <si>
    <t xml:space="preserve">Valor </t>
  </si>
  <si>
    <t>Directo</t>
  </si>
  <si>
    <t>Indirecto</t>
  </si>
  <si>
    <t>Costo Total</t>
  </si>
  <si>
    <t>RESULTADO PROYECTADO</t>
  </si>
  <si>
    <t>$</t>
  </si>
  <si>
    <t>En dólares</t>
  </si>
  <si>
    <t>INDIRECTOS</t>
  </si>
  <si>
    <t>Detalle</t>
  </si>
  <si>
    <t>Conjunto Habitacional "Portal de los Valles"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</si>
  <si>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</si>
  <si>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</si>
  <si>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</si>
  <si>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</si>
  <si>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</si>
  <si>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</si>
  <si>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</si>
  <si>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</si>
  <si>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</si>
  <si>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</si>
  <si>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</si>
  <si>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</si>
  <si>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</si>
  <si>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</si>
  <si>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</si>
  <si>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</si>
  <si>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</si>
  <si>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</si>
  <si>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</si>
  <si>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</si>
  <si>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</si>
  <si>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</si>
  <si>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</si>
  <si>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</si>
  <si>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</si>
  <si>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</si>
  <si>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</si>
  <si>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</si>
  <si>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</si>
  <si>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</si>
  <si>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</si>
  <si>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</si>
  <si>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</si>
  <si>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</si>
  <si>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</si>
  <si>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</si>
  <si>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Mes 37</t>
  </si>
  <si>
    <t>Mes 38</t>
  </si>
  <si>
    <t>Mes 39</t>
  </si>
  <si>
    <t>Mes 40</t>
  </si>
  <si>
    <t>Mes 41</t>
  </si>
  <si>
    <t>Mes 42</t>
  </si>
  <si>
    <t>Mes 43</t>
  </si>
  <si>
    <t>Mes 44</t>
  </si>
  <si>
    <t>Mes 45</t>
  </si>
  <si>
    <t>Mes 46</t>
  </si>
  <si>
    <t>Mes 47</t>
  </si>
  <si>
    <t>Mes 48</t>
  </si>
  <si>
    <t>RUBROS</t>
  </si>
  <si>
    <t>PRECIO TOTAL CONTRACTUAL</t>
  </si>
  <si>
    <t>% CRONOG.</t>
  </si>
  <si>
    <t>ACUMILADO EJECUTADO</t>
  </si>
  <si>
    <t>PRESUPUESTO</t>
  </si>
  <si>
    <t>CONTROL</t>
  </si>
  <si>
    <t>CONSTRUCCION VIVIENDAS</t>
  </si>
  <si>
    <t>Subtotal Progamado</t>
  </si>
  <si>
    <t>Subtotal Ejecutado</t>
  </si>
  <si>
    <t>OBRAS COMPLEMENTARIAS</t>
  </si>
  <si>
    <t>Red Eléctrica exterior</t>
  </si>
  <si>
    <t>Red Hidrosanitaria exterior</t>
  </si>
  <si>
    <t>Obras Exteriores</t>
  </si>
  <si>
    <t>TOTAL PROGRAMADO</t>
  </si>
  <si>
    <t>TOTAL EJECUTADO</t>
  </si>
  <si>
    <t>VALOR PROGRAMADO</t>
  </si>
  <si>
    <t xml:space="preserve">PARCIAL </t>
  </si>
  <si>
    <t>ACUMULADO</t>
  </si>
  <si>
    <t>VALOR EJECUTADO</t>
  </si>
  <si>
    <t>PORCENTAJE DE AVANCE DE OBRA</t>
  </si>
  <si>
    <t>PORCENTAJE DE AVANCE EJECUTADO</t>
  </si>
  <si>
    <t>ETAPA I</t>
  </si>
  <si>
    <t>DPTOS</t>
  </si>
  <si>
    <t>LOCALES</t>
  </si>
  <si>
    <t>TOTAL m2</t>
  </si>
  <si>
    <t>M2</t>
  </si>
  <si>
    <t>ETAPA II</t>
  </si>
  <si>
    <t>ETAPA III</t>
  </si>
  <si>
    <t>Descripción</t>
  </si>
  <si>
    <t>Tipo</t>
  </si>
  <si>
    <t>PVP  Prom. x m2</t>
  </si>
  <si>
    <t>m2 Promedio</t>
  </si>
  <si>
    <t>Precio Promedio</t>
  </si>
  <si>
    <t>Ventas totales</t>
  </si>
  <si>
    <t>Total M2 Construidos VP</t>
  </si>
  <si>
    <t>Reserva</t>
  </si>
  <si>
    <t>Entrada</t>
  </si>
  <si>
    <t>Crédito Hipotecario</t>
  </si>
  <si>
    <t>Tipologia</t>
  </si>
  <si>
    <t>A</t>
  </si>
  <si>
    <t>ABSORCIÓN</t>
  </si>
  <si>
    <t>B</t>
  </si>
  <si>
    <t>Casas Tipo A</t>
  </si>
  <si>
    <t>C</t>
  </si>
  <si>
    <t>Casas Tipo B BQ1</t>
  </si>
  <si>
    <t>Casas Tipo B BQ2</t>
  </si>
  <si>
    <t>Totales</t>
  </si>
  <si>
    <t>Departamentos</t>
  </si>
  <si>
    <t>TOTAL UNIDADES</t>
  </si>
  <si>
    <t>VIVIENDA</t>
  </si>
  <si>
    <t>PATIO</t>
  </si>
  <si>
    <t>PARQUEADERO</t>
  </si>
  <si>
    <t>No. Dep</t>
  </si>
  <si>
    <t>Torre / Manzana</t>
  </si>
  <si>
    <t># Dormitorios</t>
  </si>
  <si>
    <t>m2 Unidad</t>
  </si>
  <si>
    <t>m2 Porche</t>
  </si>
  <si>
    <t>m2 Vendibles</t>
  </si>
  <si>
    <t>m2 Patio</t>
  </si>
  <si>
    <t>PVP m2 Patio</t>
  </si>
  <si>
    <t>PVP Patio</t>
  </si>
  <si>
    <t>No. Parqueadero</t>
  </si>
  <si>
    <t>Ubicación</t>
  </si>
  <si>
    <t>PVP Parqueadero</t>
  </si>
  <si>
    <t>PVP m2 Inmueble</t>
  </si>
  <si>
    <t>Valor Inmueble</t>
  </si>
  <si>
    <t>PVPTOTAL x m2</t>
  </si>
  <si>
    <t xml:space="preserve">Meses Aportes </t>
  </si>
  <si>
    <t>Casa 001</t>
  </si>
  <si>
    <t>P014</t>
  </si>
  <si>
    <t>Cercana</t>
  </si>
  <si>
    <t>Casa 002</t>
  </si>
  <si>
    <t>P015</t>
  </si>
  <si>
    <t>Casa 003</t>
  </si>
  <si>
    <t>P016</t>
  </si>
  <si>
    <t>Casa 004</t>
  </si>
  <si>
    <t>P017</t>
  </si>
  <si>
    <t>Casa 005</t>
  </si>
  <si>
    <t>P018</t>
  </si>
  <si>
    <t>Casa 006</t>
  </si>
  <si>
    <t>P025</t>
  </si>
  <si>
    <t>Al frente</t>
  </si>
  <si>
    <t>Casa 007</t>
  </si>
  <si>
    <t>P026</t>
  </si>
  <si>
    <t>Casa 008</t>
  </si>
  <si>
    <t>P027</t>
  </si>
  <si>
    <t>Casa 009</t>
  </si>
  <si>
    <t>P028</t>
  </si>
  <si>
    <t>Casa 010</t>
  </si>
  <si>
    <t>P029</t>
  </si>
  <si>
    <t>En Isla</t>
  </si>
  <si>
    <t>Casa 011</t>
  </si>
  <si>
    <t>P030</t>
  </si>
  <si>
    <t>Casa 012</t>
  </si>
  <si>
    <t>P031</t>
  </si>
  <si>
    <t>Casa 013</t>
  </si>
  <si>
    <t>P024</t>
  </si>
  <si>
    <t>Casa 014</t>
  </si>
  <si>
    <t>P023</t>
  </si>
  <si>
    <t>Casa 015</t>
  </si>
  <si>
    <t>P022</t>
  </si>
  <si>
    <t>Casa 016</t>
  </si>
  <si>
    <t>P021</t>
  </si>
  <si>
    <t>Casa 017</t>
  </si>
  <si>
    <t>P020</t>
  </si>
  <si>
    <t>Casa 018</t>
  </si>
  <si>
    <t>P019</t>
  </si>
  <si>
    <t>Casa 019</t>
  </si>
  <si>
    <t>P035</t>
  </si>
  <si>
    <t>Casa 020</t>
  </si>
  <si>
    <t>P034</t>
  </si>
  <si>
    <t>Casa 021</t>
  </si>
  <si>
    <t>P033</t>
  </si>
  <si>
    <t>Casa 022</t>
  </si>
  <si>
    <t>P032</t>
  </si>
  <si>
    <t>Casa 023</t>
  </si>
  <si>
    <t>P039</t>
  </si>
  <si>
    <t>Casa 024</t>
  </si>
  <si>
    <t>P040</t>
  </si>
  <si>
    <t>Casa 025</t>
  </si>
  <si>
    <t>P036</t>
  </si>
  <si>
    <t>Casa 026</t>
  </si>
  <si>
    <t>P037</t>
  </si>
  <si>
    <t>Casa 027</t>
  </si>
  <si>
    <t>P045</t>
  </si>
  <si>
    <t>Casa 028</t>
  </si>
  <si>
    <t>P044</t>
  </si>
  <si>
    <t>Casa 029</t>
  </si>
  <si>
    <t>P043</t>
  </si>
  <si>
    <t>Casa 030</t>
  </si>
  <si>
    <t>P038</t>
  </si>
  <si>
    <t>Casa 031</t>
  </si>
  <si>
    <t>Casa 032</t>
  </si>
  <si>
    <t>P065</t>
  </si>
  <si>
    <t>Casa 033</t>
  </si>
  <si>
    <t>P041</t>
  </si>
  <si>
    <t>Casa 034</t>
  </si>
  <si>
    <t>P042</t>
  </si>
  <si>
    <t>Casa 035</t>
  </si>
  <si>
    <t>P061</t>
  </si>
  <si>
    <t>Casa 036</t>
  </si>
  <si>
    <t>P062</t>
  </si>
  <si>
    <t>Casa 037</t>
  </si>
  <si>
    <t>P063</t>
  </si>
  <si>
    <t>Casa 038</t>
  </si>
  <si>
    <t>P064</t>
  </si>
  <si>
    <t>Casa 039</t>
  </si>
  <si>
    <t>P060</t>
  </si>
  <si>
    <t>Casa 040</t>
  </si>
  <si>
    <t>P046</t>
  </si>
  <si>
    <t>Casa 041</t>
  </si>
  <si>
    <t>P047</t>
  </si>
  <si>
    <t>Casa 042</t>
  </si>
  <si>
    <t>P048</t>
  </si>
  <si>
    <t>Casa 043</t>
  </si>
  <si>
    <t>P049</t>
  </si>
  <si>
    <t>Casa 044</t>
  </si>
  <si>
    <t>P050</t>
  </si>
  <si>
    <t>Casa 045</t>
  </si>
  <si>
    <t>P051</t>
  </si>
  <si>
    <t>Casa 046</t>
  </si>
  <si>
    <t>P052</t>
  </si>
  <si>
    <t>Casa 047</t>
  </si>
  <si>
    <t>P053</t>
  </si>
  <si>
    <t>Casa 048</t>
  </si>
  <si>
    <t>P054</t>
  </si>
  <si>
    <t>Casa 049</t>
  </si>
  <si>
    <t>P055</t>
  </si>
  <si>
    <t>Casa 050</t>
  </si>
  <si>
    <t>P056</t>
  </si>
  <si>
    <t>Casa 051</t>
  </si>
  <si>
    <t>P057</t>
  </si>
  <si>
    <t>Casa 052</t>
  </si>
  <si>
    <t>P058</t>
  </si>
  <si>
    <t>Departamento 01</t>
  </si>
  <si>
    <t>P001</t>
  </si>
  <si>
    <t>Departamento 02</t>
  </si>
  <si>
    <t>P002</t>
  </si>
  <si>
    <t>Departamento 03</t>
  </si>
  <si>
    <t>P003</t>
  </si>
  <si>
    <t>Departamento 04</t>
  </si>
  <si>
    <t>P004</t>
  </si>
  <si>
    <t>Departamento 05</t>
  </si>
  <si>
    <t>P005</t>
  </si>
  <si>
    <t>Departamento 06</t>
  </si>
  <si>
    <t>P006</t>
  </si>
  <si>
    <t>Departamento 07</t>
  </si>
  <si>
    <t>Departamento 08</t>
  </si>
  <si>
    <t>Departamento 09</t>
  </si>
  <si>
    <t>Departamento 10</t>
  </si>
  <si>
    <t>Departamento 11</t>
  </si>
  <si>
    <t>Departamento 12</t>
  </si>
  <si>
    <t>Departamento 13</t>
  </si>
  <si>
    <t>P007</t>
  </si>
  <si>
    <t>Departamento 14</t>
  </si>
  <si>
    <t>P008</t>
  </si>
  <si>
    <t>Departamento 15</t>
  </si>
  <si>
    <t>P009</t>
  </si>
  <si>
    <t>Departamento 16</t>
  </si>
  <si>
    <t>P010</t>
  </si>
  <si>
    <t>Departamento 17</t>
  </si>
  <si>
    <t>P011</t>
  </si>
  <si>
    <t>Departamento 18</t>
  </si>
  <si>
    <t>P012</t>
  </si>
  <si>
    <t>Departamento 19</t>
  </si>
  <si>
    <t>Departamento 20</t>
  </si>
  <si>
    <t>Departamento 21</t>
  </si>
  <si>
    <t>Departamento 22</t>
  </si>
  <si>
    <t>Departamento 23</t>
  </si>
  <si>
    <t>Departamento 24</t>
  </si>
  <si>
    <t>Departamento 25</t>
  </si>
  <si>
    <t>P013</t>
  </si>
  <si>
    <t>Departamento 26</t>
  </si>
  <si>
    <t>P066</t>
  </si>
  <si>
    <t>Departamento 27</t>
  </si>
  <si>
    <t>P067</t>
  </si>
  <si>
    <t>Departamento 28</t>
  </si>
  <si>
    <t>P068</t>
  </si>
  <si>
    <t>Departamento 29</t>
  </si>
  <si>
    <t>P069</t>
  </si>
  <si>
    <t>Departamento 30</t>
  </si>
  <si>
    <t>P070</t>
  </si>
  <si>
    <t>Departamento 31</t>
  </si>
  <si>
    <t>Departamento 32</t>
  </si>
  <si>
    <t>Departamento 33</t>
  </si>
  <si>
    <t>Departamento 34</t>
  </si>
  <si>
    <t>Departamento 35</t>
  </si>
  <si>
    <t>Departamento 36</t>
  </si>
  <si>
    <t>Departamento 37</t>
  </si>
  <si>
    <t>P071</t>
  </si>
  <si>
    <t>Departamento 38</t>
  </si>
  <si>
    <t>P072</t>
  </si>
  <si>
    <t>Departamento 39</t>
  </si>
  <si>
    <t>P073</t>
  </si>
  <si>
    <t>Departamento 40</t>
  </si>
  <si>
    <t>P074</t>
  </si>
  <si>
    <t>Departamento 41</t>
  </si>
  <si>
    <t>P075</t>
  </si>
  <si>
    <t>Departamento 42</t>
  </si>
  <si>
    <t>P059</t>
  </si>
  <si>
    <t>Departamento 43</t>
  </si>
  <si>
    <t>Departamento 44</t>
  </si>
  <si>
    <t>Departamento 45</t>
  </si>
  <si>
    <t>Departamento 46</t>
  </si>
  <si>
    <t>Departamento 47</t>
  </si>
  <si>
    <t>Departamento 48</t>
  </si>
  <si>
    <t>Fecha Entraga</t>
  </si>
  <si>
    <t>COMISIONES</t>
  </si>
  <si>
    <t>FLUJO INGRESOS</t>
  </si>
  <si>
    <t xml:space="preserve">FLUJO DE CAJA </t>
  </si>
  <si>
    <t>Resumen del Proyecto</t>
  </si>
  <si>
    <t>Ingreso por Ventas</t>
  </si>
  <si>
    <t>Costo total del Proyecto</t>
  </si>
  <si>
    <t>Resultado del Proyecto</t>
  </si>
  <si>
    <t>Tasa de Interés</t>
  </si>
  <si>
    <t>NÚMERO DE MESES POR EJECUTAR</t>
  </si>
  <si>
    <t>APORTE INICIAL</t>
  </si>
  <si>
    <t>Presupuesto Base</t>
  </si>
  <si>
    <t>Presupuesto Actual</t>
  </si>
  <si>
    <t>Por Ejecutar</t>
  </si>
  <si>
    <t>Ejecutado</t>
  </si>
  <si>
    <t>EMPRESA PHVR</t>
  </si>
  <si>
    <t>Estudios (Planificación y Dirección)</t>
  </si>
  <si>
    <t>INVERSIONISTA</t>
  </si>
  <si>
    <t>Capital Inicial</t>
  </si>
  <si>
    <t>Capital Adicional</t>
  </si>
  <si>
    <t>INGRESOS</t>
  </si>
  <si>
    <t>EGRESOS</t>
  </si>
  <si>
    <t>DIRECTOS</t>
  </si>
  <si>
    <t>COSTOS DEL TERRENO</t>
  </si>
  <si>
    <t>URBANIZACION</t>
  </si>
  <si>
    <t xml:space="preserve">PLANIFICACION </t>
  </si>
  <si>
    <t xml:space="preserve">TASAS, IMPUESTOS, SEGUROS </t>
  </si>
  <si>
    <t>Gastos Financieros</t>
  </si>
  <si>
    <t>Flujo Neto (Ingresos - Egresos) Mensual</t>
  </si>
  <si>
    <t>MATRIZ DE CÁLCULO – VAN Y TIR | URIN CHILLO LOTE A</t>
  </si>
  <si>
    <t>1. PARÁMETROS</t>
  </si>
  <si>
    <t>Tasa de descuento anual</t>
  </si>
  <si>
    <t>Tasa de descuento mensual</t>
  </si>
  <si>
    <t>Inversión inicial del inversionista</t>
  </si>
  <si>
    <t>Costo total</t>
  </si>
  <si>
    <t>Utilidad contable del proyecto</t>
  </si>
  <si>
    <t>2. FLUJO DE CAJA PARA EVALUACIÓN DEL PROYECTO</t>
  </si>
  <si>
    <t>Flujo neto proyecto</t>
  </si>
  <si>
    <t>Factor descuento</t>
  </si>
  <si>
    <t>Flujo descontado</t>
  </si>
  <si>
    <t>VAN PROYECTO</t>
  </si>
  <si>
    <t>TIR MENSUAL PROYECTO</t>
  </si>
  <si>
    <t>TIR ANUAL EFECTIVA PROYECTO</t>
  </si>
  <si>
    <t>Criterio VAN</t>
  </si>
  <si>
    <t>3. FLUJO DE CAJA PARA EVALUACIÓN DEL INVERSIONISTA</t>
  </si>
  <si>
    <t>Flujo inversionista</t>
  </si>
  <si>
    <t>VAN INVERSIONISTA</t>
  </si>
  <si>
    <t>TIR MENSUAL INVERSIONISTA</t>
  </si>
  <si>
    <t>TIR ANUAL EFECTIVA INVERSIONISTA</t>
  </si>
  <si>
    <t>4. SENSIBILIDAD DEL VAN A LA TASA DE DESCUENTO</t>
  </si>
  <si>
    <t>Tasa anual</t>
  </si>
  <si>
    <t>Tasa mensual</t>
  </si>
  <si>
    <t>VAN proyecto</t>
  </si>
  <si>
    <t>VAN inversionista</t>
  </si>
  <si>
    <t>MATRIZ DE CÁLCULO – PUNTO DE EQUILIBRIO | URIN CHILLO LOTE A</t>
  </si>
  <si>
    <t>1. PARÁMETROS DEL MODELO</t>
  </si>
  <si>
    <t>Ingresos totales del proyecto</t>
  </si>
  <si>
    <t>USD</t>
  </si>
  <si>
    <t>Unidades totales comercializables</t>
  </si>
  <si>
    <t>Precio promedio por unidad</t>
  </si>
  <si>
    <t>USD/unidad</t>
  </si>
  <si>
    <t>Costo variable total</t>
  </si>
  <si>
    <t>Costo fijo total</t>
  </si>
  <si>
    <t>Costo variable unitario</t>
  </si>
  <si>
    <t>Margen de contribución unitario</t>
  </si>
  <si>
    <t>Margen de contribución %</t>
  </si>
  <si>
    <t>PUNTO DE EQUILIBRIO – UNIDADES</t>
  </si>
  <si>
    <t>PUNTO DE EQUILIBRIO – VENTAS</t>
  </si>
  <si>
    <t>Punto de equilibrio – % unidades</t>
  </si>
  <si>
    <t>Margen de seguridad – unidades</t>
  </si>
  <si>
    <t>Margen de seguridad – %</t>
  </si>
  <si>
    <t>2. MATRIZ DE CLASIFICACIÓN DE COSTOS</t>
  </si>
  <si>
    <t>Código</t>
  </si>
  <si>
    <t>Costo total USD</t>
  </si>
  <si>
    <t>% variable</t>
  </si>
  <si>
    <t>Costo variable USD</t>
  </si>
  <si>
    <t>Costo fijo USD</t>
  </si>
  <si>
    <t>Base / criterio</t>
  </si>
  <si>
    <t>Fijo</t>
  </si>
  <si>
    <t>Terreno / aporte no escalable por unidad</t>
  </si>
  <si>
    <t>Variable</t>
  </si>
  <si>
    <t>Urbanización vinculada al desarrollo</t>
  </si>
  <si>
    <t>Construcción tipología A</t>
  </si>
  <si>
    <t>Construcción tipología B</t>
  </si>
  <si>
    <t>Construcción tipología C</t>
  </si>
  <si>
    <t>Imprevistos calculados sobre obra</t>
  </si>
  <si>
    <t>IVA asociado al costo</t>
  </si>
  <si>
    <t>Tasas, impuestos y garantías</t>
  </si>
  <si>
    <t>Administración de construcción</t>
  </si>
  <si>
    <t>Comisión de ventas vinculada a ventas</t>
  </si>
  <si>
    <t>Costo financiero presupuestado</t>
  </si>
  <si>
    <t>3. SENSIBILIDAD DEL PUNTO DE EQUILIBRIO</t>
  </si>
  <si>
    <t>Variación precio / costo variable</t>
  </si>
  <si>
    <t>Costo variable -10%</t>
  </si>
  <si>
    <t>Base</t>
  </si>
  <si>
    <t>Costo variable +10%</t>
  </si>
  <si>
    <t>Precio -10%</t>
  </si>
  <si>
    <t>Precio base</t>
  </si>
  <si>
    <t>Precio +10%</t>
  </si>
  <si>
    <t>3.2.10</t>
  </si>
  <si>
    <t>3.4.2</t>
  </si>
  <si>
    <t>Aliado estrategico</t>
  </si>
  <si>
    <t>Aporte Inicial</t>
  </si>
  <si>
    <t>Comercializa Aliado Estrategico</t>
  </si>
  <si>
    <t>Comercializa EPHVR</t>
  </si>
  <si>
    <t>Utilidad socio</t>
  </si>
  <si>
    <t>Utilidad Aportantes</t>
  </si>
  <si>
    <t>Diferencia para cubrir costos /comercialización</t>
  </si>
  <si>
    <t>Aporte sobre costo Total</t>
  </si>
  <si>
    <t>Porcentaje de aporte sobre costos</t>
  </si>
  <si>
    <t>Valores</t>
  </si>
  <si>
    <t>Rentabilidad sobre Ventas</t>
  </si>
  <si>
    <t>Modalidades Sobre Costos</t>
  </si>
  <si>
    <t>Modalidad 1</t>
  </si>
  <si>
    <t>Modalidad 2</t>
  </si>
  <si>
    <t>Modalidad 50% - 50%</t>
  </si>
  <si>
    <t>VAN y 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</si>
</sst>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43" formatCode="_ * #,##0.00_ ;_ * \-#,##0.00_ ;_ * &quot;-&quot;??_ ;_ @_ "/>
    <numFmt numFmtId="164" formatCode="_([$$-300A]\ * #,##0.00_);_([$$-300A]\ * \(#,##0.00\);_([$$-300A]\ * \-??_);_(@_)"/>
    <numFmt numFmtId="165" formatCode="_(* #,##0.00_);_(* \(#,##0.00\);_(* \-??_);_(@_)"/>
    <numFmt numFmtId="166" formatCode="_ [$$-300A]* #,##0.00_ ;_ [$$-300A]* \-#,##0.00_ ;_ [$$-300A]* \-??_ ;_ @_ "/>
    <numFmt numFmtId="167" formatCode="_-[$$-300A]\ * #,##0.00_ ;_-[$$-300A]\ * \-#,##0.00\ ;_-[$$-300A]\ * \-??_ ;_-@_ "/>
    <numFmt numFmtId="168" formatCode="_(&quot;$ &quot;* #,##0.00_);_(&quot;$ &quot;* \(#,##0.00\);_(&quot;$ &quot;* \-??_);_(@_)"/>
    <numFmt numFmtId="169" formatCode="#,##0&quot; meses&quot;"/>
    <numFmt numFmtId="170" formatCode="0.0%"/>
    <numFmt numFmtId="171" formatCode="_ * #,##0_ ;_ * \-#,##0_ ;_ * \-??_ ;_ @_ "/>
    <numFmt numFmtId="172" formatCode="#,##0&quot; U&quot;"/>
    <numFmt numFmtId="173" formatCode="#,##0.00&quot; m2&quot;"/>
    <numFmt numFmtId="174" formatCode="_-* #,##0.00_-;\-* #,##0.00_-;_-* \-??_-;_-@_-"/>
    <numFmt numFmtId="175" formatCode="_ * #,##0.000000_ ;_ * \-#,##0.000000_ ;_ * \-??_ ;_ @_ "/>
    <numFmt numFmtId="176" formatCode="_ * #,##0.00_ ;_ * \-#,##0.00_ ;_ * \-??_ ;_ @_ "/>
    <numFmt numFmtId="177" formatCode="#,##0.00_);\(#,##0.00\)"/>
    <numFmt numFmtId="178" formatCode="#,##0.0000_);\(#,##0.0000\)"/>
    <numFmt numFmtId="179" formatCode="_(* #,##0_);_(* \(#,##0\);_(* \-_);_(@_)"/>
    <numFmt numFmtId="180" formatCode="mmmm\-yy"/>
    <numFmt numFmtId="181" formatCode="_(* #,##0_);_(* \(#,##0\);_(* \-??_);_(@_)"/>
    <numFmt numFmtId="182" formatCode="\$#,##0.00"/>
    <numFmt numFmtId="183" formatCode="_ * #,##0.000000000_ ;_ * \-#,##0.000000000_ ;_ * \-??_ ;_ @_ "/>
    <numFmt numFmtId="184" formatCode="0.0000%"/>
    <numFmt numFmtId="185" formatCode="0.0000"/>
    <numFmt numFmtId="186" formatCode="_ * #,##0.0000000_ ;_ * \-#,##0.0000000_ ;_ * \-??_ ;_ @_ "/>
    <numFmt numFmtId="187" formatCode="_ * #,##0.0000_ ;_ * \-#,##0.0000_ ;_ * \-??_ ;_ @_ "/>
    <numFmt numFmtId="188" formatCode="_ [$$-300A]* #,##0.00_ ;_ [$$-300A]* \-#,##0.00_ ;_ [$$-300A]* &quot;-&quot;??_ ;_ @_ "/>
    <numFmt numFmtId="189" formatCode="0.000%"/>
  </numFmts>
  <fonts count="74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8"/>
      <name val="Book Antiqua"/>
      <family val="1"/>
      <charset val="1"/>
    </font>
    <font>
      <u/>
      <sz val="18"/>
      <name val="Book Antiqua"/>
      <family val="1"/>
      <charset val="1"/>
    </font>
    <font>
      <u/>
      <sz val="18"/>
      <color rgb="FF0000FF"/>
      <name val="Book Antiqua"/>
      <family val="1"/>
      <charset val="1"/>
    </font>
    <font>
      <sz val="10"/>
      <color theme="3"/>
      <name val="Calibri"/>
      <family val="2"/>
      <charset val="1"/>
    </font>
    <font>
      <b/>
      <sz val="10"/>
      <color theme="3"/>
      <name val="Calibri"/>
      <family val="2"/>
      <charset val="1"/>
    </font>
    <font>
      <b/>
      <sz val="14"/>
      <color rgb="FFFFFFFF"/>
      <name val="Cambria"/>
      <family val="1"/>
    </font>
    <font>
      <b/>
      <sz val="11"/>
      <name val="Cambria"/>
      <family val="1"/>
    </font>
    <font>
      <b/>
      <sz val="11"/>
      <color rgb="FFFFFFFF"/>
      <name val="Cambria"/>
      <family val="1"/>
    </font>
    <font>
      <sz val="8"/>
      <color theme="3"/>
      <name val="Book Antiqua"/>
      <family val="1"/>
      <charset val="1"/>
    </font>
    <font>
      <sz val="10"/>
      <color theme="3"/>
      <name val="Book Antiqua"/>
      <family val="1"/>
      <charset val="1"/>
    </font>
    <font>
      <b/>
      <sz val="10"/>
      <color theme="3"/>
      <name val="Book Antiqua"/>
      <family val="1"/>
      <charset val="1"/>
    </font>
    <font>
      <b/>
      <sz val="8"/>
      <color theme="3"/>
      <name val="Book Antiqua"/>
      <family val="1"/>
      <charset val="1"/>
    </font>
    <font>
      <i/>
      <sz val="10"/>
      <color theme="3"/>
      <name val="Book Antiqua"/>
      <family val="1"/>
      <charset val="1"/>
    </font>
    <font>
      <sz val="11"/>
      <color theme="1"/>
      <name val="Aptos"/>
      <family val="2"/>
      <charset val="1"/>
    </font>
    <font>
      <b/>
      <sz val="12"/>
      <color theme="3"/>
      <name val="Aptos"/>
      <family val="2"/>
      <charset val="1"/>
    </font>
    <font>
      <sz val="10"/>
      <color theme="3"/>
      <name val="Aptos"/>
      <family val="2"/>
      <charset val="1"/>
    </font>
    <font>
      <b/>
      <sz val="10"/>
      <color theme="3"/>
      <name val="Aptos"/>
      <family val="2"/>
      <charset val="1"/>
    </font>
    <font>
      <b/>
      <sz val="10"/>
      <color rgb="FFFF0000"/>
      <name val="Aptos"/>
      <family val="2"/>
      <charset val="1"/>
    </font>
    <font>
      <sz val="11"/>
      <color theme="0" tint="-0.34998626667073579"/>
      <name val="Aptos"/>
      <family val="2"/>
      <charset val="1"/>
    </font>
    <font>
      <b/>
      <sz val="10"/>
      <color theme="3"/>
      <name val="Aptos"/>
      <charset val="1"/>
    </font>
    <font>
      <b/>
      <sz val="11"/>
      <color theme="1"/>
      <name val="Aptos"/>
      <family val="2"/>
      <charset val="1"/>
    </font>
    <font>
      <sz val="10"/>
      <color theme="3"/>
      <name val="Aptos"/>
      <charset val="1"/>
    </font>
    <font>
      <sz val="9"/>
      <color theme="3"/>
      <name val="Aptos"/>
      <family val="2"/>
      <charset val="1"/>
    </font>
    <font>
      <sz val="9"/>
      <color theme="1"/>
      <name val="Aptos"/>
      <family val="2"/>
      <charset val="1"/>
    </font>
    <font>
      <b/>
      <sz val="8"/>
      <color theme="3"/>
      <name val="Aptos"/>
      <family val="2"/>
      <charset val="1"/>
    </font>
    <font>
      <b/>
      <sz val="12"/>
      <color theme="1"/>
      <name val="Calibri"/>
      <family val="2"/>
      <charset val="1"/>
    </font>
    <font>
      <b/>
      <sz val="9"/>
      <name val="Book Antiqua"/>
      <family val="1"/>
      <charset val="1"/>
    </font>
    <font>
      <b/>
      <sz val="16"/>
      <name val="Book Antiqua"/>
      <family val="1"/>
      <charset val="1"/>
    </font>
    <font>
      <sz val="8"/>
      <name val="Book Antiqua"/>
      <family val="1"/>
      <charset val="1"/>
    </font>
    <font>
      <b/>
      <sz val="8"/>
      <name val="Book Antiqua"/>
      <family val="1"/>
      <charset val="1"/>
    </font>
    <font>
      <b/>
      <sz val="8"/>
      <color rgb="FFFF0000"/>
      <name val="Book Antiqua"/>
      <family val="1"/>
      <charset val="1"/>
    </font>
    <font>
      <sz val="8"/>
      <color rgb="FF333399"/>
      <name val="Book Antiqua"/>
      <family val="1"/>
      <charset val="1"/>
    </font>
    <font>
      <b/>
      <sz val="8"/>
      <color rgb="FF333399"/>
      <name val="Book Antiqua"/>
      <family val="1"/>
      <charset val="1"/>
    </font>
    <font>
      <sz val="11"/>
      <color theme="0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4"/>
      <name val="Aptos"/>
      <family val="2"/>
      <charset val="1"/>
    </font>
    <font>
      <sz val="12"/>
      <color theme="1"/>
      <name val="Aptos"/>
      <family val="2"/>
      <charset val="1"/>
    </font>
    <font>
      <b/>
      <sz val="12"/>
      <color theme="1"/>
      <name val="Aptos"/>
      <family val="2"/>
      <charset val="1"/>
    </font>
    <font>
      <b/>
      <sz val="8"/>
      <color rgb="FFFF0000"/>
      <name val="Aptos"/>
      <family val="2"/>
      <charset val="1"/>
    </font>
    <font>
      <b/>
      <sz val="8"/>
      <color rgb="FF666699"/>
      <name val="Aptos"/>
      <family val="2"/>
      <charset val="1"/>
    </font>
    <font>
      <b/>
      <sz val="8"/>
      <color rgb="FF333399"/>
      <name val="Aptos"/>
      <family val="2"/>
      <charset val="1"/>
    </font>
    <font>
      <sz val="12"/>
      <color theme="4"/>
      <name val="Aptos"/>
      <family val="2"/>
      <charset val="1"/>
    </font>
    <font>
      <sz val="8"/>
      <color rgb="FF333399"/>
      <name val="Aptos"/>
      <family val="2"/>
      <charset val="1"/>
    </font>
    <font>
      <b/>
      <sz val="8"/>
      <color theme="0"/>
      <name val="Aptos"/>
      <family val="2"/>
      <charset val="1"/>
    </font>
    <font>
      <sz val="9"/>
      <name val="Aptos"/>
      <family val="2"/>
      <charset val="1"/>
    </font>
    <font>
      <b/>
      <sz val="9"/>
      <name val="Aptos"/>
      <family val="2"/>
      <charset val="1"/>
    </font>
    <font>
      <sz val="9"/>
      <color rgb="FF333399"/>
      <name val="Aptos"/>
      <family val="2"/>
      <charset val="1"/>
    </font>
    <font>
      <b/>
      <sz val="9"/>
      <color rgb="FF333399"/>
      <name val="Aptos"/>
      <family val="2"/>
      <charset val="1"/>
    </font>
    <font>
      <b/>
      <sz val="9"/>
      <color theme="0"/>
      <name val="Aptos"/>
      <family val="2"/>
      <charset val="1"/>
    </font>
    <font>
      <b/>
      <sz val="9"/>
      <color theme="1"/>
      <name val="Aptos"/>
      <family val="2"/>
      <charset val="1"/>
    </font>
    <font>
      <sz val="9"/>
      <color theme="4"/>
      <name val="Aptos"/>
      <family val="2"/>
      <charset val="1"/>
    </font>
    <font>
      <b/>
      <sz val="9"/>
      <color rgb="FFFF0000"/>
      <name val="Aptos"/>
      <family val="2"/>
      <charset val="1"/>
    </font>
    <font>
      <b/>
      <sz val="9"/>
      <color rgb="FF00B050"/>
      <name val="Aptos"/>
      <family val="2"/>
      <charset val="1"/>
    </font>
    <font>
      <sz val="10"/>
      <name val="Book Antiqua"/>
      <family val="1"/>
      <charset val="1"/>
    </font>
    <font>
      <b/>
      <sz val="10"/>
      <name val="Book Antiqua"/>
      <family val="1"/>
      <charset val="1"/>
    </font>
    <font>
      <b/>
      <sz val="12"/>
      <name val="Tahoma"/>
      <family val="2"/>
      <charset val="1"/>
    </font>
    <font>
      <sz val="11"/>
      <name val="Tahoma"/>
      <family val="2"/>
      <charset val="1"/>
    </font>
    <font>
      <b/>
      <sz val="7"/>
      <name val="Tahoma"/>
      <family val="2"/>
      <charset val="1"/>
    </font>
    <font>
      <sz val="7"/>
      <name val="Tahoma"/>
      <family val="2"/>
      <charset val="1"/>
    </font>
    <font>
      <b/>
      <sz val="10"/>
      <name val="Tahoma"/>
      <family val="2"/>
      <charset val="1"/>
    </font>
    <font>
      <b/>
      <sz val="18"/>
      <name val="Tahoma"/>
      <family val="2"/>
      <charset val="1"/>
    </font>
    <font>
      <b/>
      <sz val="14"/>
      <color rgb="FFFF0000"/>
      <name val="Book Antiqua"/>
      <family val="1"/>
      <charset val="1"/>
    </font>
    <font>
      <b/>
      <sz val="10"/>
      <color rgb="FFFF0000"/>
      <name val="Book Antiqua"/>
      <family val="1"/>
      <charset val="1"/>
    </font>
    <font>
      <b/>
      <sz val="10"/>
      <color theme="4"/>
      <name val="Book Antiqua"/>
      <family val="1"/>
      <charset val="1"/>
    </font>
    <font>
      <sz val="10"/>
      <color rgb="FFFF0000"/>
      <name val="Book Antiqua"/>
      <family val="1"/>
      <charset val="1"/>
    </font>
    <font>
      <i/>
      <sz val="11"/>
      <color rgb="FF404040"/>
      <name val="Cambria"/>
      <family val="1"/>
    </font>
    <font>
      <sz val="11"/>
      <color rgb="FFFF0000"/>
      <name val="Calibri"/>
      <family val="2"/>
      <charset val="1"/>
    </font>
    <font>
      <b/>
      <sz val="11"/>
      <color rgb="FF1F4E78"/>
      <name val="Calibri"/>
      <family val="2"/>
    </font>
    <font>
      <sz val="11"/>
      <color theme="1"/>
      <name val="Calibri"/>
      <family val="2"/>
      <charset val="1"/>
    </font>
    <font>
      <sz val="9"/>
      <color rgb="FFFF0000"/>
      <name val="Aptos"/>
      <family val="2"/>
      <charset val="1"/>
    </font>
    <font>
      <sz val="11"/>
      <color rgb="FF00B050"/>
      <name val="Aptos"/>
      <family val="2"/>
      <charset val="1"/>
    </font>
    <font>
      <b/>
      <sz val="10"/>
      <color theme="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DF2F8"/>
        <bgColor rgb="FFF2F2F2"/>
      </patternFill>
    </fill>
    <fill>
      <patternFill patternType="solid">
        <fgColor rgb="FFFFFF00"/>
        <bgColor rgb="FFFFC000"/>
      </patternFill>
    </fill>
    <fill>
      <patternFill patternType="solid">
        <fgColor theme="2"/>
        <bgColor rgb="FFECECEC"/>
      </patternFill>
    </fill>
    <fill>
      <patternFill patternType="solid">
        <fgColor rgb="FFECEDEC"/>
        <bgColor rgb="FFECECEC"/>
      </patternFill>
    </fill>
    <fill>
      <patternFill patternType="solid">
        <fgColor theme="8" tint="0.39967040009765925"/>
        <bgColor rgb="FF9DCEE1"/>
      </patternFill>
    </fill>
    <fill>
      <patternFill patternType="solid">
        <fgColor theme="5" tint="0.39967040009765925"/>
        <bgColor rgb="FFAEA0C3"/>
      </patternFill>
    </fill>
    <fill>
      <patternFill patternType="solid">
        <fgColor theme="6" tint="0.39967040009765925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theme="2" tint="-0.499984740745262"/>
        <bgColor rgb="FF7B64A0"/>
      </patternFill>
    </fill>
    <fill>
      <patternFill patternType="darkGray">
        <fgColor rgb="FF9DCEE1"/>
        <bgColor rgb="FF93CDDD"/>
      </patternFill>
    </fill>
    <fill>
      <patternFill patternType="solid">
        <fgColor theme="4" tint="0.79979857783745845"/>
        <bgColor rgb="FFDBEBF7"/>
      </patternFill>
    </fill>
    <fill>
      <patternFill patternType="solid">
        <fgColor theme="9" tint="0.79979857783745845"/>
        <bgColor rgb="FFFCE4D6"/>
      </patternFill>
    </fill>
    <fill>
      <patternFill patternType="solid">
        <fgColor theme="6" tint="0.59968871120334488"/>
        <bgColor rgb="FFD9D9D9"/>
      </patternFill>
    </fill>
    <fill>
      <patternFill patternType="solid">
        <fgColor theme="7" tint="0.79979857783745845"/>
        <bgColor rgb="FFDCE6F2"/>
      </patternFill>
    </fill>
    <fill>
      <patternFill patternType="solid">
        <fgColor theme="9" tint="0.59968871120334488"/>
        <bgColor rgb="FFFCE4D6"/>
      </patternFill>
    </fill>
    <fill>
      <patternFill patternType="solid">
        <fgColor rgb="FFC0C0C0"/>
        <bgColor rgb="FFB7B7BC"/>
      </patternFill>
    </fill>
    <fill>
      <patternFill patternType="solid">
        <fgColor rgb="FFCCFFCC"/>
        <bgColor rgb="FFCCFFFF"/>
      </patternFill>
    </fill>
    <fill>
      <patternFill patternType="solid">
        <fgColor theme="3"/>
        <bgColor rgb="FF1F4C7A"/>
      </patternFill>
    </fill>
    <fill>
      <patternFill patternType="solid">
        <fgColor rgb="FFCCFFFF"/>
        <bgColor rgb="FFCCFFCC"/>
      </patternFill>
    </fill>
    <fill>
      <patternFill patternType="solid">
        <fgColor rgb="FF99FFCC"/>
        <bgColor rgb="FFCCFFCC"/>
      </patternFill>
    </fill>
    <fill>
      <patternFill patternType="solid">
        <fgColor rgb="FFFFFFCC"/>
        <bgColor rgb="FFFFF2CC"/>
      </patternFill>
    </fill>
    <fill>
      <patternFill patternType="solid">
        <fgColor theme="4"/>
        <bgColor rgb="FF5C95D5"/>
      </patternFill>
    </fill>
    <fill>
      <patternFill patternType="solid">
        <fgColor theme="7"/>
        <bgColor rgb="FF5D5A61"/>
      </patternFill>
    </fill>
    <fill>
      <patternFill patternType="solid">
        <fgColor rgb="FFFFC000"/>
        <bgColor rgb="FFFAC08F"/>
      </patternFill>
    </fill>
    <fill>
      <patternFill patternType="solid">
        <fgColor theme="0" tint="-0.14999847407452621"/>
        <bgColor rgb="FFD7E0F2"/>
      </patternFill>
    </fill>
    <fill>
      <patternFill patternType="darkGray">
        <fgColor theme="3" tint="0.79979857783745845"/>
        <bgColor rgb="FFD9D9D9"/>
      </patternFill>
    </fill>
    <fill>
      <patternFill patternType="solid">
        <fgColor theme="0" tint="-4.9989318521683403E-2"/>
        <bgColor rgb="FFEDF2F8"/>
      </patternFill>
    </fill>
    <fill>
      <patternFill patternType="solid">
        <fgColor rgb="FFFFFF99"/>
        <bgColor rgb="FFFFFFCC"/>
      </patternFill>
    </fill>
    <fill>
      <patternFill patternType="solid">
        <fgColor rgb="FF1F4C7A"/>
        <bgColor rgb="FF1F4E77"/>
      </patternFill>
    </fill>
    <fill>
      <patternFill patternType="solid">
        <fgColor rgb="FF5C95D5"/>
        <bgColor rgb="FF4E81BD"/>
      </patternFill>
    </fill>
    <fill>
      <patternFill patternType="solid">
        <fgColor rgb="FF403A42"/>
        <bgColor rgb="FF1F497D"/>
      </patternFill>
    </fill>
    <fill>
      <patternFill patternType="solid">
        <fgColor rgb="FFFCE4D6"/>
        <bgColor rgb="FFFDEADA"/>
      </patternFill>
    </fill>
    <fill>
      <patternFill patternType="mediumGray">
        <fgColor rgb="FFE6F0E9"/>
        <bgColor rgb="FFECEDEC"/>
      </patternFill>
    </fill>
    <fill>
      <patternFill patternType="darkGray">
        <fgColor rgb="FFDCE6F2"/>
        <bgColor rgb="FFE6E0EC"/>
      </patternFill>
    </fill>
    <fill>
      <gradientFill type="path" left="0.5" right="0.5" top="0.5" bottom="0.5">
        <stop position="0">
          <color theme="0"/>
        </stop>
        <stop position="1">
          <color theme="4" tint="0.80001220740379042"/>
        </stop>
      </gradient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7B7BC"/>
      </left>
      <right style="thin">
        <color rgb="FFB7B7BC"/>
      </right>
      <top style="thin">
        <color rgb="FFB7B7BC"/>
      </top>
      <bottom style="thin">
        <color rgb="FFB7B7BC"/>
      </bottom>
      <diagonal/>
    </border>
    <border>
      <left/>
      <right/>
      <top/>
      <bottom style="thin">
        <color rgb="FFB7B7BC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9">
    <xf numFmtId="0" fontId="0" fillId="0" borderId="0"/>
    <xf numFmtId="186" fontId="1" fillId="0" borderId="0"/>
    <xf numFmtId="187" fontId="1" fillId="0" borderId="0"/>
    <xf numFmtId="174" fontId="1" fillId="0" borderId="0"/>
    <xf numFmtId="0" fontId="1" fillId="0" borderId="0"/>
    <xf numFmtId="9" fontId="1" fillId="0" borderId="0"/>
    <xf numFmtId="9" fontId="1" fillId="0" borderId="0"/>
    <xf numFmtId="43" fontId="70" fillId="0" borderId="0" applyFont="0" applyFill="0" applyBorder="0" applyAlignment="0" applyProtection="0"/>
    <xf numFmtId="9" fontId="70" fillId="0" borderId="0" applyFont="0" applyFill="0" applyBorder="0" applyAlignment="0" applyProtection="0"/>
  </cellStyleXfs>
  <cellXfs count="5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10" fontId="5" fillId="3" borderId="0" xfId="0" applyNumberFormat="1" applyFont="1" applyFill="1" applyAlignment="1">
      <alignment horizontal="center" vertical="center" wrapText="1"/>
    </xf>
    <xf numFmtId="10" fontId="5" fillId="0" borderId="0" xfId="0" applyNumberFormat="1" applyFont="1" applyAlignment="1">
      <alignment horizontal="left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0" fontId="5" fillId="0" borderId="0" xfId="0" applyNumberFormat="1" applyFont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0" fillId="0" borderId="0" xfId="0" applyFont="1"/>
    <xf numFmtId="0" fontId="11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10" fillId="0" borderId="0" xfId="0" applyNumberFormat="1" applyFont="1"/>
    <xf numFmtId="2" fontId="10" fillId="0" borderId="0" xfId="0" applyNumberFormat="1" applyFont="1"/>
    <xf numFmtId="0" fontId="10" fillId="0" borderId="0" xfId="0" applyFont="1" applyProtection="1">
      <protection hidden="1"/>
    </xf>
    <xf numFmtId="10" fontId="12" fillId="5" borderId="3" xfId="0" applyNumberFormat="1" applyFont="1" applyFill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2" fontId="19" fillId="6" borderId="1" xfId="0" applyNumberFormat="1" applyFont="1" applyFill="1" applyBorder="1" applyAlignment="1">
      <alignment horizontal="center" vertical="center" wrapText="1"/>
    </xf>
    <xf numFmtId="10" fontId="18" fillId="6" borderId="1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 wrapText="1"/>
    </xf>
    <xf numFmtId="10" fontId="18" fillId="7" borderId="2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0" fontId="17" fillId="0" borderId="6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0" fontId="17" fillId="0" borderId="8" xfId="0" applyNumberFormat="1" applyFont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0" fontId="17" fillId="0" borderId="11" xfId="0" applyNumberFormat="1" applyFont="1" applyBorder="1" applyAlignment="1">
      <alignment horizontal="center" vertical="center" wrapText="1"/>
    </xf>
    <xf numFmtId="2" fontId="18" fillId="8" borderId="2" xfId="0" applyNumberFormat="1" applyFont="1" applyFill="1" applyBorder="1" applyAlignment="1">
      <alignment horizontal="center" vertical="center" wrapText="1"/>
    </xf>
    <xf numFmtId="10" fontId="18" fillId="8" borderId="2" xfId="0" applyNumberFormat="1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10" fontId="18" fillId="5" borderId="5" xfId="0" applyNumberFormat="1" applyFont="1" applyFill="1" applyBorder="1" applyAlignment="1">
      <alignment horizontal="center" vertical="center" wrapText="1"/>
    </xf>
    <xf numFmtId="10" fontId="18" fillId="5" borderId="6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9" borderId="13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9" fontId="18" fillId="5" borderId="1" xfId="0" applyNumberFormat="1" applyFont="1" applyFill="1" applyBorder="1" applyAlignment="1">
      <alignment horizontal="center" vertical="center" wrapText="1"/>
    </xf>
    <xf numFmtId="10" fontId="18" fillId="5" borderId="8" xfId="0" applyNumberFormat="1" applyFont="1" applyFill="1" applyBorder="1" applyAlignment="1">
      <alignment horizontal="center" vertical="center" wrapText="1"/>
    </xf>
    <xf numFmtId="0" fontId="22" fillId="0" borderId="0" xfId="0" applyFont="1"/>
    <xf numFmtId="9" fontId="22" fillId="0" borderId="0" xfId="0" applyNumberFormat="1" applyFont="1"/>
    <xf numFmtId="10" fontId="15" fillId="0" borderId="0" xfId="0" applyNumberFormat="1" applyFont="1"/>
    <xf numFmtId="10" fontId="21" fillId="0" borderId="1" xfId="0" applyNumberFormat="1" applyFont="1" applyBorder="1" applyAlignment="1">
      <alignment horizontal="center" vertical="center" wrapText="1"/>
    </xf>
    <xf numFmtId="10" fontId="18" fillId="5" borderId="1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9" fontId="18" fillId="2" borderId="19" xfId="0" applyNumberFormat="1" applyFont="1" applyFill="1" applyBorder="1" applyAlignment="1">
      <alignment horizontal="center" vertical="center" wrapText="1"/>
    </xf>
    <xf numFmtId="4" fontId="17" fillId="0" borderId="2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left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0" xfId="0" applyFont="1"/>
    <xf numFmtId="4" fontId="17" fillId="0" borderId="0" xfId="0" applyNumberFormat="1" applyFont="1" applyAlignment="1">
      <alignment horizontal="center" vertical="center" wrapText="1"/>
    </xf>
    <xf numFmtId="10" fontId="18" fillId="2" borderId="20" xfId="0" applyNumberFormat="1" applyFont="1" applyFill="1" applyBorder="1" applyAlignment="1">
      <alignment horizontal="center" vertical="center" wrapText="1"/>
    </xf>
    <xf numFmtId="0" fontId="27" fillId="0" borderId="0" xfId="0" applyFont="1"/>
    <xf numFmtId="0" fontId="29" fillId="0" borderId="0" xfId="0" applyFont="1" applyAlignment="1">
      <alignment horizontal="center"/>
    </xf>
    <xf numFmtId="0" fontId="30" fillId="0" borderId="0" xfId="0" applyFont="1"/>
    <xf numFmtId="9" fontId="30" fillId="0" borderId="0" xfId="0" applyNumberFormat="1" applyFont="1" applyAlignment="1">
      <alignment horizontal="center"/>
    </xf>
    <xf numFmtId="9" fontId="30" fillId="0" borderId="0" xfId="0" applyNumberFormat="1" applyFont="1"/>
    <xf numFmtId="0" fontId="30" fillId="10" borderId="0" xfId="0" applyFont="1" applyFill="1"/>
    <xf numFmtId="9" fontId="31" fillId="11" borderId="1" xfId="0" applyNumberFormat="1" applyFont="1" applyFill="1" applyBorder="1" applyAlignment="1">
      <alignment horizontal="center"/>
    </xf>
    <xf numFmtId="0" fontId="32" fillId="9" borderId="1" xfId="0" applyFont="1" applyFill="1" applyBorder="1" applyAlignment="1">
      <alignment horizontal="center" vertical="center" wrapText="1"/>
    </xf>
    <xf numFmtId="17" fontId="31" fillId="12" borderId="1" xfId="0" applyNumberFormat="1" applyFont="1" applyFill="1" applyBorder="1" applyAlignment="1">
      <alignment horizontal="center" vertical="center" wrapText="1"/>
    </xf>
    <xf numFmtId="17" fontId="31" fillId="13" borderId="1" xfId="0" applyNumberFormat="1" applyFont="1" applyFill="1" applyBorder="1" applyAlignment="1">
      <alignment horizontal="center" vertical="center" wrapText="1"/>
    </xf>
    <xf numFmtId="17" fontId="31" fillId="14" borderId="1" xfId="0" applyNumberFormat="1" applyFont="1" applyFill="1" applyBorder="1" applyAlignment="1">
      <alignment horizontal="center" vertical="center" wrapText="1"/>
    </xf>
    <xf numFmtId="17" fontId="31" fillId="15" borderId="1" xfId="0" applyNumberFormat="1" applyFont="1" applyFill="1" applyBorder="1" applyAlignment="1">
      <alignment horizontal="center" vertical="center" wrapText="1"/>
    </xf>
    <xf numFmtId="17" fontId="31" fillId="16" borderId="1" xfId="0" applyNumberFormat="1" applyFont="1" applyFill="1" applyBorder="1" applyAlignment="1">
      <alignment horizontal="center" vertical="center" wrapText="1"/>
    </xf>
    <xf numFmtId="17" fontId="31" fillId="0" borderId="1" xfId="0" applyNumberFormat="1" applyFont="1" applyBorder="1" applyAlignment="1">
      <alignment horizontal="center" vertical="center" wrapText="1"/>
    </xf>
    <xf numFmtId="17" fontId="31" fillId="3" borderId="1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1" xfId="0" applyFont="1" applyBorder="1"/>
    <xf numFmtId="10" fontId="30" fillId="0" borderId="1" xfId="0" applyNumberFormat="1" applyFont="1" applyBorder="1"/>
    <xf numFmtId="0" fontId="33" fillId="0" borderId="1" xfId="0" applyFont="1" applyBorder="1"/>
    <xf numFmtId="0" fontId="33" fillId="0" borderId="0" xfId="0" applyFont="1"/>
    <xf numFmtId="10" fontId="31" fillId="17" borderId="1" xfId="0" applyNumberFormat="1" applyFont="1" applyFill="1" applyBorder="1"/>
    <xf numFmtId="0" fontId="31" fillId="0" borderId="0" xfId="0" applyFont="1"/>
    <xf numFmtId="0" fontId="34" fillId="17" borderId="1" xfId="0" applyFont="1" applyFill="1" applyBorder="1"/>
    <xf numFmtId="0" fontId="34" fillId="0" borderId="0" xfId="0" applyFont="1"/>
    <xf numFmtId="10" fontId="31" fillId="18" borderId="1" xfId="0" applyNumberFormat="1" applyFont="1" applyFill="1" applyBorder="1"/>
    <xf numFmtId="0" fontId="34" fillId="18" borderId="1" xfId="0" applyFont="1" applyFill="1" applyBorder="1"/>
    <xf numFmtId="10" fontId="31" fillId="0" borderId="1" xfId="0" applyNumberFormat="1" applyFont="1" applyBorder="1"/>
    <xf numFmtId="9" fontId="31" fillId="0" borderId="1" xfId="0" applyNumberFormat="1" applyFont="1" applyBorder="1"/>
    <xf numFmtId="10" fontId="31" fillId="0" borderId="1" xfId="0" applyNumberFormat="1" applyFont="1" applyBorder="1" applyAlignment="1">
      <alignment horizontal="right"/>
    </xf>
    <xf numFmtId="10" fontId="0" fillId="0" borderId="0" xfId="0" applyNumberFormat="1"/>
    <xf numFmtId="10" fontId="35" fillId="0" borderId="0" xfId="0" applyNumberFormat="1" applyFont="1"/>
    <xf numFmtId="0" fontId="0" fillId="0" borderId="0" xfId="0" applyAlignment="1">
      <alignment horizontal="right"/>
    </xf>
    <xf numFmtId="10" fontId="12" fillId="0" borderId="0" xfId="0" applyNumberFormat="1" applyFont="1" applyAlignment="1">
      <alignment horizontal="center" vertical="center" wrapText="1"/>
    </xf>
    <xf numFmtId="0" fontId="3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10" fontId="0" fillId="3" borderId="1" xfId="0" applyNumberFormat="1" applyFill="1" applyBorder="1"/>
    <xf numFmtId="0" fontId="36" fillId="3" borderId="1" xfId="0" applyFont="1" applyFill="1" applyBorder="1"/>
    <xf numFmtId="4" fontId="36" fillId="3" borderId="1" xfId="0" applyNumberFormat="1" applyFont="1" applyFill="1" applyBorder="1"/>
    <xf numFmtId="10" fontId="0" fillId="0" borderId="1" xfId="0" applyNumberFormat="1" applyBorder="1"/>
    <xf numFmtId="4" fontId="15" fillId="6" borderId="0" xfId="0" applyNumberFormat="1" applyFont="1" applyFill="1" applyAlignment="1">
      <alignment vertical="center"/>
    </xf>
    <xf numFmtId="4" fontId="15" fillId="0" borderId="0" xfId="0" applyNumberFormat="1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4" fontId="15" fillId="6" borderId="0" xfId="0" applyNumberFormat="1" applyFont="1" applyFill="1" applyAlignment="1">
      <alignment horizontal="center" vertical="center"/>
    </xf>
    <xf numFmtId="4" fontId="37" fillId="0" borderId="0" xfId="0" applyNumberFormat="1" applyFont="1" applyAlignment="1">
      <alignment vertical="center"/>
    </xf>
    <xf numFmtId="4" fontId="38" fillId="0" borderId="0" xfId="0" applyNumberFormat="1" applyFont="1" applyAlignment="1">
      <alignment vertical="center"/>
    </xf>
    <xf numFmtId="17" fontId="40" fillId="0" borderId="0" xfId="0" applyNumberFormat="1" applyFont="1" applyAlignment="1">
      <alignment horizontal="center" vertical="center" wrapText="1"/>
    </xf>
    <xf numFmtId="17" fontId="41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4" fontId="42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vertical="center"/>
    </xf>
    <xf numFmtId="4" fontId="38" fillId="6" borderId="0" xfId="0" applyNumberFormat="1" applyFont="1" applyFill="1" applyAlignment="1">
      <alignment vertical="center"/>
    </xf>
    <xf numFmtId="3" fontId="38" fillId="0" borderId="0" xfId="0" applyNumberFormat="1" applyFont="1" applyAlignment="1">
      <alignment horizontal="center" vertical="center"/>
    </xf>
    <xf numFmtId="4" fontId="38" fillId="6" borderId="0" xfId="0" applyNumberFormat="1" applyFont="1" applyFill="1" applyAlignment="1">
      <alignment horizontal="center" vertical="center"/>
    </xf>
    <xf numFmtId="4" fontId="43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0" fontId="42" fillId="0" borderId="0" xfId="0" applyFont="1" applyAlignment="1">
      <alignment horizontal="left" vertical="center"/>
    </xf>
    <xf numFmtId="0" fontId="45" fillId="6" borderId="26" xfId="0" applyFont="1" applyFill="1" applyBorder="1" applyAlignment="1">
      <alignment horizontal="center" vertical="center" wrapText="1"/>
    </xf>
    <xf numFmtId="0" fontId="45" fillId="19" borderId="27" xfId="0" applyFont="1" applyFill="1" applyBorder="1" applyAlignment="1">
      <alignment horizontal="center" vertical="center" wrapText="1"/>
    </xf>
    <xf numFmtId="0" fontId="45" fillId="19" borderId="28" xfId="0" applyFont="1" applyFill="1" applyBorder="1" applyAlignment="1">
      <alignment horizontal="center" vertical="center" wrapText="1"/>
    </xf>
    <xf numFmtId="0" fontId="45" fillId="19" borderId="29" xfId="0" applyFont="1" applyFill="1" applyBorder="1" applyAlignment="1">
      <alignment horizontal="center" vertical="center" wrapText="1"/>
    </xf>
    <xf numFmtId="0" fontId="45" fillId="6" borderId="29" xfId="0" applyFont="1" applyFill="1" applyBorder="1" applyAlignment="1">
      <alignment horizontal="center" vertical="center" wrapText="1"/>
    </xf>
    <xf numFmtId="3" fontId="42" fillId="0" borderId="0" xfId="0" applyNumberFormat="1" applyFont="1" applyAlignment="1">
      <alignment horizontal="center" vertical="center"/>
    </xf>
    <xf numFmtId="0" fontId="46" fillId="0" borderId="29" xfId="0" applyFont="1" applyBorder="1" applyAlignment="1">
      <alignment horizontal="center" vertical="center"/>
    </xf>
    <xf numFmtId="4" fontId="46" fillId="0" borderId="29" xfId="0" applyNumberFormat="1" applyFont="1" applyBorder="1" applyAlignment="1">
      <alignment horizontal="center" vertical="center"/>
    </xf>
    <xf numFmtId="9" fontId="46" fillId="0" borderId="29" xfId="0" applyNumberFormat="1" applyFont="1" applyBorder="1" applyAlignment="1">
      <alignment horizontal="center" vertical="center"/>
    </xf>
    <xf numFmtId="9" fontId="46" fillId="0" borderId="32" xfId="0" applyNumberFormat="1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4" fontId="46" fillId="0" borderId="0" xfId="0" applyNumberFormat="1" applyFont="1" applyAlignment="1">
      <alignment horizontal="center" vertical="center"/>
    </xf>
    <xf numFmtId="9" fontId="46" fillId="0" borderId="0" xfId="0" applyNumberFormat="1" applyFont="1" applyAlignment="1">
      <alignment horizontal="center" vertical="center"/>
    </xf>
    <xf numFmtId="9" fontId="46" fillId="0" borderId="33" xfId="0" applyNumberFormat="1" applyFont="1" applyBorder="1" applyAlignment="1">
      <alignment horizontal="center" vertical="center"/>
    </xf>
    <xf numFmtId="1" fontId="48" fillId="21" borderId="1" xfId="0" applyNumberFormat="1" applyFont="1" applyFill="1" applyBorder="1" applyAlignment="1">
      <alignment horizontal="center"/>
    </xf>
    <xf numFmtId="1" fontId="48" fillId="20" borderId="1" xfId="0" applyNumberFormat="1" applyFont="1" applyFill="1" applyBorder="1" applyAlignment="1">
      <alignment horizontal="center"/>
    </xf>
    <xf numFmtId="0" fontId="47" fillId="6" borderId="34" xfId="0" applyFont="1" applyFill="1" applyBorder="1" applyAlignment="1">
      <alignment horizontal="left" vertical="center"/>
    </xf>
    <xf numFmtId="0" fontId="47" fillId="12" borderId="35" xfId="0" applyFont="1" applyFill="1" applyBorder="1" applyAlignment="1">
      <alignment horizontal="center" vertical="center"/>
    </xf>
    <xf numFmtId="2" fontId="47" fillId="3" borderId="35" xfId="0" applyNumberFormat="1" applyFont="1" applyFill="1" applyBorder="1"/>
    <xf numFmtId="0" fontId="47" fillId="12" borderId="38" xfId="0" applyFont="1" applyFill="1" applyBorder="1" applyAlignment="1">
      <alignment vertical="center"/>
    </xf>
    <xf numFmtId="0" fontId="47" fillId="12" borderId="35" xfId="0" applyFont="1" applyFill="1" applyBorder="1" applyAlignment="1">
      <alignment vertical="center"/>
    </xf>
    <xf numFmtId="0" fontId="47" fillId="12" borderId="36" xfId="0" applyFont="1" applyFill="1" applyBorder="1" applyAlignment="1">
      <alignment horizontal="center" vertical="center"/>
    </xf>
    <xf numFmtId="1" fontId="48" fillId="22" borderId="1" xfId="0" applyNumberFormat="1" applyFont="1" applyFill="1" applyBorder="1" applyAlignment="1">
      <alignment horizontal="center"/>
    </xf>
    <xf numFmtId="0" fontId="49" fillId="0" borderId="0" xfId="0" applyFont="1" applyAlignment="1">
      <alignment horizontal="center" vertical="center"/>
    </xf>
    <xf numFmtId="1" fontId="50" fillId="19" borderId="19" xfId="0" applyNumberFormat="1" applyFont="1" applyFill="1" applyBorder="1" applyAlignment="1">
      <alignment horizontal="center"/>
    </xf>
    <xf numFmtId="4" fontId="25" fillId="0" borderId="0" xfId="0" applyNumberFormat="1" applyFont="1" applyAlignment="1">
      <alignment vertical="center"/>
    </xf>
    <xf numFmtId="4" fontId="51" fillId="0" borderId="0" xfId="0" applyNumberFormat="1" applyFont="1" applyAlignment="1">
      <alignment vertical="center"/>
    </xf>
    <xf numFmtId="4" fontId="52" fillId="0" borderId="0" xfId="0" applyNumberFormat="1" applyFont="1" applyAlignment="1">
      <alignment vertical="center"/>
    </xf>
    <xf numFmtId="0" fontId="48" fillId="10" borderId="0" xfId="0" applyFont="1" applyFill="1" applyAlignment="1">
      <alignment vertical="center"/>
    </xf>
    <xf numFmtId="4" fontId="51" fillId="0" borderId="0" xfId="0" applyNumberFormat="1" applyFont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 wrapText="1"/>
    </xf>
    <xf numFmtId="0" fontId="45" fillId="19" borderId="1" xfId="0" applyFont="1" applyFill="1" applyBorder="1" applyAlignment="1">
      <alignment horizontal="center" vertical="center" wrapText="1"/>
    </xf>
    <xf numFmtId="0" fontId="45" fillId="19" borderId="21" xfId="0" applyFont="1" applyFill="1" applyBorder="1" applyAlignment="1">
      <alignment horizontal="center" vertical="center" wrapText="1"/>
    </xf>
    <xf numFmtId="0" fontId="45" fillId="23" borderId="1" xfId="0" applyFont="1" applyFill="1" applyBorder="1" applyAlignment="1">
      <alignment horizontal="center" vertical="center" wrapText="1"/>
    </xf>
    <xf numFmtId="0" fontId="45" fillId="24" borderId="1" xfId="0" applyFont="1" applyFill="1" applyBorder="1" applyAlignment="1">
      <alignment horizontal="center" vertical="center" wrapText="1"/>
    </xf>
    <xf numFmtId="4" fontId="42" fillId="25" borderId="1" xfId="0" applyNumberFormat="1" applyFont="1" applyFill="1" applyBorder="1" applyAlignment="1">
      <alignment horizontal="center" vertical="center" wrapText="1"/>
    </xf>
    <xf numFmtId="4" fontId="49" fillId="25" borderId="1" xfId="0" applyNumberFormat="1" applyFont="1" applyFill="1" applyBorder="1" applyAlignment="1">
      <alignment horizontal="center" vertical="center" wrapText="1"/>
    </xf>
    <xf numFmtId="1" fontId="49" fillId="26" borderId="1" xfId="0" applyNumberFormat="1" applyFont="1" applyFill="1" applyBorder="1" applyAlignment="1">
      <alignment horizontal="center" vertical="center" wrapText="1"/>
    </xf>
    <xf numFmtId="0" fontId="49" fillId="26" borderId="1" xfId="0" applyFont="1" applyFill="1" applyBorder="1" applyAlignment="1">
      <alignment horizontal="center" vertical="center" wrapText="1"/>
    </xf>
    <xf numFmtId="0" fontId="53" fillId="26" borderId="1" xfId="0" applyFont="1" applyFill="1" applyBorder="1" applyAlignment="1">
      <alignment horizontal="center" vertical="center" wrapText="1"/>
    </xf>
    <xf numFmtId="0" fontId="48" fillId="6" borderId="1" xfId="0" applyFont="1" applyFill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9" fontId="48" fillId="0" borderId="1" xfId="0" applyNumberFormat="1" applyFont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left" vertical="center"/>
    </xf>
    <xf numFmtId="0" fontId="47" fillId="6" borderId="1" xfId="0" applyFont="1" applyFill="1" applyBorder="1" applyAlignment="1">
      <alignment horizontal="center" vertical="center"/>
    </xf>
    <xf numFmtId="0" fontId="47" fillId="12" borderId="1" xfId="0" applyFont="1" applyFill="1" applyBorder="1" applyAlignment="1">
      <alignment horizontal="center" vertical="center"/>
    </xf>
    <xf numFmtId="0" fontId="47" fillId="12" borderId="1" xfId="0" applyFont="1" applyFill="1" applyBorder="1" applyAlignment="1">
      <alignment vertical="center"/>
    </xf>
    <xf numFmtId="0" fontId="48" fillId="6" borderId="0" xfId="0" applyFont="1" applyFill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6" borderId="1" xfId="0" applyFont="1" applyFill="1" applyBorder="1" applyAlignment="1">
      <alignment horizontal="center" vertical="center" wrapText="1"/>
    </xf>
    <xf numFmtId="0" fontId="50" fillId="19" borderId="1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4" fontId="46" fillId="0" borderId="0" xfId="0" applyNumberFormat="1" applyFont="1" applyAlignment="1">
      <alignment vertical="center"/>
    </xf>
    <xf numFmtId="4" fontId="48" fillId="0" borderId="1" xfId="0" applyNumberFormat="1" applyFont="1" applyBorder="1" applyAlignment="1">
      <alignment vertical="center"/>
    </xf>
    <xf numFmtId="0" fontId="50" fillId="19" borderId="21" xfId="0" applyFont="1" applyFill="1" applyBorder="1" applyAlignment="1">
      <alignment vertical="center"/>
    </xf>
    <xf numFmtId="0" fontId="46" fillId="0" borderId="20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4" fontId="47" fillId="12" borderId="1" xfId="0" applyNumberFormat="1" applyFont="1" applyFill="1" applyBorder="1" applyAlignment="1">
      <alignment vertical="center"/>
    </xf>
    <xf numFmtId="4" fontId="25" fillId="6" borderId="0" xfId="0" applyNumberFormat="1" applyFont="1" applyFill="1" applyAlignment="1">
      <alignment vertical="center"/>
    </xf>
    <xf numFmtId="3" fontId="25" fillId="0" borderId="0" xfId="0" applyNumberFormat="1" applyFont="1" applyAlignment="1">
      <alignment horizontal="center" vertical="center"/>
    </xf>
    <xf numFmtId="4" fontId="25" fillId="6" borderId="0" xfId="0" applyNumberFormat="1" applyFont="1" applyFill="1" applyAlignment="1">
      <alignment horizontal="center" vertical="center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 applyAlignment="1">
      <alignment horizontal="center"/>
    </xf>
    <xf numFmtId="0" fontId="58" fillId="0" borderId="0" xfId="0" applyFont="1"/>
    <xf numFmtId="0" fontId="59" fillId="0" borderId="0" xfId="0" applyFont="1"/>
    <xf numFmtId="12" fontId="60" fillId="0" borderId="0" xfId="0" applyNumberFormat="1" applyFont="1" applyAlignment="1">
      <alignment horizontal="left"/>
    </xf>
    <xf numFmtId="0" fontId="61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15" fontId="56" fillId="0" borderId="0" xfId="0" applyNumberFormat="1" applyFont="1"/>
    <xf numFmtId="0" fontId="56" fillId="18" borderId="1" xfId="0" applyFont="1" applyFill="1" applyBorder="1" applyAlignment="1">
      <alignment horizontal="center"/>
    </xf>
    <xf numFmtId="0" fontId="56" fillId="20" borderId="1" xfId="0" applyFont="1" applyFill="1" applyBorder="1" applyAlignment="1">
      <alignment horizontal="center"/>
    </xf>
    <xf numFmtId="4" fontId="56" fillId="0" borderId="0" xfId="0" applyNumberFormat="1" applyFont="1"/>
    <xf numFmtId="0" fontId="63" fillId="0" borderId="0" xfId="0" applyFont="1" applyAlignment="1">
      <alignment horizontal="right"/>
    </xf>
    <xf numFmtId="0" fontId="64" fillId="0" borderId="0" xfId="0" applyFont="1"/>
    <xf numFmtId="0" fontId="56" fillId="17" borderId="1" xfId="0" applyFont="1" applyFill="1" applyBorder="1" applyAlignment="1">
      <alignment horizontal="center"/>
    </xf>
    <xf numFmtId="10" fontId="56" fillId="0" borderId="0" xfId="0" applyNumberFormat="1" applyFont="1"/>
    <xf numFmtId="10" fontId="56" fillId="29" borderId="1" xfId="0" applyNumberFormat="1" applyFont="1" applyFill="1" applyBorder="1"/>
    <xf numFmtId="9" fontId="55" fillId="0" borderId="0" xfId="0" applyNumberFormat="1" applyFont="1"/>
    <xf numFmtId="4" fontId="55" fillId="0" borderId="0" xfId="0" applyNumberFormat="1" applyFont="1"/>
    <xf numFmtId="0" fontId="55" fillId="10" borderId="0" xfId="0" applyFont="1" applyFill="1"/>
    <xf numFmtId="0" fontId="28" fillId="17" borderId="20" xfId="0" applyFont="1" applyFill="1" applyBorder="1"/>
    <xf numFmtId="0" fontId="56" fillId="0" borderId="1" xfId="0" applyFont="1" applyBorder="1" applyAlignment="1">
      <alignment horizontal="center" vertical="center" wrapText="1"/>
    </xf>
    <xf numFmtId="17" fontId="56" fillId="0" borderId="1" xfId="0" applyNumberFormat="1" applyFont="1" applyBorder="1" applyAlignment="1">
      <alignment horizontal="center" vertical="center" wrapText="1"/>
    </xf>
    <xf numFmtId="4" fontId="56" fillId="0" borderId="1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3" fontId="56" fillId="0" borderId="0" xfId="0" applyNumberFormat="1" applyFont="1" applyAlignment="1">
      <alignment horizontal="center"/>
    </xf>
    <xf numFmtId="0" fontId="56" fillId="0" borderId="0" xfId="0" applyFont="1" applyAlignment="1">
      <alignment horizontal="center"/>
    </xf>
    <xf numFmtId="4" fontId="56" fillId="0" borderId="0" xfId="0" applyNumberFormat="1" applyFont="1" applyAlignment="1">
      <alignment horizontal="center"/>
    </xf>
    <xf numFmtId="0" fontId="0" fillId="0" borderId="39" xfId="0" applyBorder="1"/>
    <xf numFmtId="10" fontId="0" fillId="0" borderId="39" xfId="0" applyNumberFormat="1" applyBorder="1"/>
    <xf numFmtId="4" fontId="0" fillId="0" borderId="39" xfId="0" applyNumberFormat="1" applyBorder="1"/>
    <xf numFmtId="0" fontId="9" fillId="32" borderId="39" xfId="0" applyFont="1" applyFill="1" applyBorder="1"/>
    <xf numFmtId="17" fontId="0" fillId="0" borderId="39" xfId="0" applyNumberFormat="1" applyBorder="1"/>
    <xf numFmtId="3" fontId="0" fillId="0" borderId="39" xfId="0" applyNumberFormat="1" applyBorder="1"/>
    <xf numFmtId="0" fontId="8" fillId="0" borderId="39" xfId="0" applyFont="1" applyBorder="1"/>
    <xf numFmtId="0" fontId="0" fillId="33" borderId="39" xfId="0" applyFill="1" applyBorder="1"/>
    <xf numFmtId="9" fontId="0" fillId="0" borderId="39" xfId="0" applyNumberFormat="1" applyBorder="1"/>
    <xf numFmtId="0" fontId="0" fillId="34" borderId="39" xfId="0" applyFill="1" applyBorder="1"/>
    <xf numFmtId="0" fontId="8" fillId="35" borderId="39" xfId="0" applyFont="1" applyFill="1" applyBorder="1"/>
    <xf numFmtId="4" fontId="8" fillId="0" borderId="39" xfId="0" applyNumberFormat="1" applyFont="1" applyBorder="1"/>
    <xf numFmtId="3" fontId="68" fillId="0" borderId="39" xfId="0" applyNumberFormat="1" applyFont="1" applyBorder="1"/>
    <xf numFmtId="0" fontId="18" fillId="2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4" fontId="18" fillId="2" borderId="20" xfId="0" applyNumberFormat="1" applyFont="1" applyFill="1" applyBorder="1" applyAlignment="1">
      <alignment horizontal="center" vertical="center" wrapText="1"/>
    </xf>
    <xf numFmtId="4" fontId="18" fillId="5" borderId="1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/>
    </xf>
    <xf numFmtId="0" fontId="56" fillId="29" borderId="1" xfId="0" applyFont="1" applyFill="1" applyBorder="1" applyAlignment="1">
      <alignment horizontal="center"/>
    </xf>
    <xf numFmtId="0" fontId="0" fillId="0" borderId="0" xfId="0"/>
    <xf numFmtId="0" fontId="69" fillId="0" borderId="0" xfId="0" applyFont="1"/>
    <xf numFmtId="164" fontId="5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65" fontId="12" fillId="4" borderId="3" xfId="0" applyNumberFormat="1" applyFont="1" applyFill="1" applyBorder="1" applyAlignment="1" applyProtection="1">
      <alignment horizontal="center" vertical="center"/>
      <protection locked="0"/>
    </xf>
    <xf numFmtId="171" fontId="10" fillId="0" borderId="0" xfId="0" applyNumberFormat="1" applyFont="1"/>
    <xf numFmtId="165" fontId="11" fillId="4" borderId="3" xfId="0" applyNumberFormat="1" applyFont="1" applyFill="1" applyBorder="1" applyAlignment="1" applyProtection="1">
      <alignment horizontal="center" vertical="center"/>
      <protection locked="0"/>
    </xf>
    <xf numFmtId="172" fontId="11" fillId="4" borderId="3" xfId="0" applyNumberFormat="1" applyFont="1" applyFill="1" applyBorder="1" applyProtection="1">
      <protection locked="0"/>
    </xf>
    <xf numFmtId="172" fontId="11" fillId="5" borderId="3" xfId="0" applyNumberFormat="1" applyFont="1" applyFill="1" applyBorder="1" applyProtection="1">
      <protection locked="0"/>
    </xf>
    <xf numFmtId="173" fontId="11" fillId="4" borderId="3" xfId="0" applyNumberFormat="1" applyFont="1" applyFill="1" applyBorder="1" applyProtection="1">
      <protection locked="0"/>
    </xf>
    <xf numFmtId="173" fontId="12" fillId="5" borderId="3" xfId="0" applyNumberFormat="1" applyFont="1" applyFill="1" applyBorder="1"/>
    <xf numFmtId="174" fontId="10" fillId="0" borderId="0" xfId="0" applyNumberFormat="1" applyFont="1"/>
    <xf numFmtId="171" fontId="11" fillId="0" borderId="0" xfId="0" applyNumberFormat="1" applyFont="1"/>
    <xf numFmtId="173" fontId="11" fillId="5" borderId="3" xfId="0" applyNumberFormat="1" applyFont="1" applyFill="1" applyBorder="1" applyProtection="1">
      <protection locked="0"/>
    </xf>
    <xf numFmtId="165" fontId="11" fillId="5" borderId="3" xfId="0" applyNumberFormat="1" applyFont="1" applyFill="1" applyBorder="1"/>
    <xf numFmtId="174" fontId="11" fillId="5" borderId="3" xfId="0" applyNumberFormat="1" applyFont="1" applyFill="1" applyBorder="1"/>
    <xf numFmtId="171" fontId="13" fillId="0" borderId="0" xfId="0" applyNumberFormat="1" applyFont="1" applyAlignment="1" applyProtection="1">
      <alignment horizontal="center"/>
      <protection hidden="1"/>
    </xf>
    <xf numFmtId="174" fontId="14" fillId="5" borderId="3" xfId="0" applyNumberFormat="1" applyFont="1" applyFill="1" applyBorder="1"/>
    <xf numFmtId="171" fontId="13" fillId="0" borderId="0" xfId="0" applyNumberFormat="1" applyFont="1" applyProtection="1">
      <protection hidden="1"/>
    </xf>
    <xf numFmtId="174" fontId="12" fillId="5" borderId="3" xfId="0" applyNumberFormat="1" applyFont="1" applyFill="1" applyBorder="1"/>
    <xf numFmtId="174" fontId="11" fillId="0" borderId="0" xfId="0" applyNumberFormat="1" applyFont="1"/>
    <xf numFmtId="169" fontId="11" fillId="5" borderId="3" xfId="0" applyNumberFormat="1" applyFont="1" applyFill="1" applyBorder="1"/>
    <xf numFmtId="169" fontId="11" fillId="0" borderId="0" xfId="0" applyNumberFormat="1" applyFont="1"/>
    <xf numFmtId="171" fontId="10" fillId="0" borderId="0" xfId="0" applyNumberFormat="1" applyFont="1" applyProtection="1">
      <protection hidden="1"/>
    </xf>
    <xf numFmtId="165" fontId="15" fillId="0" borderId="0" xfId="0" applyNumberFormat="1" applyFont="1"/>
    <xf numFmtId="174" fontId="15" fillId="0" borderId="0" xfId="0" applyNumberFormat="1" applyFont="1"/>
    <xf numFmtId="174" fontId="18" fillId="6" borderId="1" xfId="0" applyNumberFormat="1" applyFont="1" applyFill="1" applyBorder="1" applyAlignment="1">
      <alignment horizontal="center" vertical="center" wrapText="1"/>
    </xf>
    <xf numFmtId="174" fontId="18" fillId="0" borderId="0" xfId="0" applyNumberFormat="1" applyFont="1" applyAlignment="1">
      <alignment horizontal="center" vertical="center" wrapText="1"/>
    </xf>
    <xf numFmtId="175" fontId="15" fillId="0" borderId="0" xfId="0" applyNumberFormat="1" applyFont="1"/>
    <xf numFmtId="174" fontId="18" fillId="7" borderId="2" xfId="0" applyNumberFormat="1" applyFont="1" applyFill="1" applyBorder="1" applyAlignment="1">
      <alignment horizontal="center" vertical="center" wrapText="1"/>
    </xf>
    <xf numFmtId="174" fontId="17" fillId="0" borderId="5" xfId="0" applyNumberFormat="1" applyFont="1" applyBorder="1" applyAlignment="1">
      <alignment horizontal="center" vertical="center" wrapText="1"/>
    </xf>
    <xf numFmtId="174" fontId="17" fillId="0" borderId="5" xfId="0" applyNumberFormat="1" applyFont="1" applyBorder="1" applyAlignment="1">
      <alignment horizontal="right" vertical="center" wrapText="1"/>
    </xf>
    <xf numFmtId="165" fontId="20" fillId="0" borderId="0" xfId="0" applyNumberFormat="1" applyFont="1"/>
    <xf numFmtId="174" fontId="17" fillId="0" borderId="1" xfId="0" applyNumberFormat="1" applyFont="1" applyBorder="1" applyAlignment="1">
      <alignment horizontal="center" vertical="center" wrapText="1"/>
    </xf>
    <xf numFmtId="174" fontId="17" fillId="0" borderId="1" xfId="0" applyNumberFormat="1" applyFont="1" applyBorder="1" applyAlignment="1">
      <alignment horizontal="right" vertical="center" wrapText="1"/>
    </xf>
    <xf numFmtId="174" fontId="21" fillId="0" borderId="1" xfId="0" applyNumberFormat="1" applyFont="1" applyBorder="1" applyAlignment="1">
      <alignment horizontal="center" vertical="center" wrapText="1"/>
    </xf>
    <xf numFmtId="176" fontId="15" fillId="0" borderId="0" xfId="0" applyNumberFormat="1" applyFont="1" applyAlignment="1">
      <alignment horizontal="right"/>
    </xf>
    <xf numFmtId="174" fontId="17" fillId="0" borderId="10" xfId="0" applyNumberFormat="1" applyFont="1" applyBorder="1" applyAlignment="1">
      <alignment horizontal="center" vertical="center" wrapText="1"/>
    </xf>
    <xf numFmtId="174" fontId="17" fillId="0" borderId="10" xfId="0" applyNumberFormat="1" applyFont="1" applyBorder="1" applyAlignment="1">
      <alignment horizontal="right" vertical="center" wrapText="1"/>
    </xf>
    <xf numFmtId="174" fontId="18" fillId="8" borderId="2" xfId="0" applyNumberFormat="1" applyFont="1" applyFill="1" applyBorder="1" applyAlignment="1">
      <alignment horizontal="center" vertical="center" wrapText="1"/>
    </xf>
    <xf numFmtId="174" fontId="18" fillId="5" borderId="5" xfId="0" applyNumberFormat="1" applyFont="1" applyFill="1" applyBorder="1" applyAlignment="1">
      <alignment horizontal="center" vertical="center" wrapText="1"/>
    </xf>
    <xf numFmtId="174" fontId="18" fillId="5" borderId="1" xfId="0" applyNumberFormat="1" applyFont="1" applyFill="1" applyBorder="1" applyAlignment="1">
      <alignment horizontal="center" vertical="center" wrapText="1"/>
    </xf>
    <xf numFmtId="168" fontId="22" fillId="0" borderId="0" xfId="0" applyNumberFormat="1" applyFont="1"/>
    <xf numFmtId="165" fontId="22" fillId="0" borderId="0" xfId="0" applyNumberFormat="1" applyFont="1"/>
    <xf numFmtId="177" fontId="22" fillId="0" borderId="0" xfId="0" applyNumberFormat="1" applyFont="1"/>
    <xf numFmtId="177" fontId="15" fillId="0" borderId="0" xfId="0" applyNumberFormat="1" applyFont="1"/>
    <xf numFmtId="174" fontId="23" fillId="0" borderId="1" xfId="0" applyNumberFormat="1" applyFont="1" applyBorder="1" applyAlignment="1">
      <alignment horizontal="center" vertical="center" wrapText="1"/>
    </xf>
    <xf numFmtId="178" fontId="15" fillId="0" borderId="0" xfId="0" applyNumberFormat="1" applyFont="1"/>
    <xf numFmtId="165" fontId="18" fillId="2" borderId="19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vertical="center" wrapText="1"/>
    </xf>
    <xf numFmtId="165" fontId="24" fillId="0" borderId="1" xfId="0" applyNumberFormat="1" applyFont="1" applyBorder="1" applyAlignment="1">
      <alignment horizontal="right" vertical="center" wrapText="1"/>
    </xf>
    <xf numFmtId="174" fontId="24" fillId="0" borderId="1" xfId="0" applyNumberFormat="1" applyFont="1" applyBorder="1" applyAlignment="1">
      <alignment horizontal="center" vertical="center" wrapText="1"/>
    </xf>
    <xf numFmtId="179" fontId="24" fillId="0" borderId="1" xfId="0" applyNumberFormat="1" applyFont="1" applyBorder="1" applyAlignment="1">
      <alignment horizontal="center" vertical="center" wrapText="1"/>
    </xf>
    <xf numFmtId="165" fontId="25" fillId="0" borderId="0" xfId="0" applyNumberFormat="1" applyFont="1"/>
    <xf numFmtId="165" fontId="18" fillId="5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180" fontId="18" fillId="2" borderId="21" xfId="0" applyNumberFormat="1" applyFont="1" applyFill="1" applyBorder="1" applyAlignment="1">
      <alignment horizontal="center" vertical="center" wrapText="1"/>
    </xf>
    <xf numFmtId="180" fontId="18" fillId="2" borderId="1" xfId="0" applyNumberFormat="1" applyFont="1" applyFill="1" applyBorder="1" applyAlignment="1">
      <alignment horizontal="center" vertical="center" wrapText="1"/>
    </xf>
    <xf numFmtId="171" fontId="30" fillId="0" borderId="0" xfId="0" applyNumberFormat="1" applyFont="1"/>
    <xf numFmtId="174" fontId="30" fillId="0" borderId="20" xfId="0" applyNumberFormat="1" applyFont="1" applyBorder="1"/>
    <xf numFmtId="174" fontId="30" fillId="0" borderId="1" xfId="0" applyNumberFormat="1" applyFont="1" applyBorder="1"/>
    <xf numFmtId="174" fontId="30" fillId="0" borderId="0" xfId="0" applyNumberFormat="1" applyFont="1"/>
    <xf numFmtId="174" fontId="31" fillId="0" borderId="1" xfId="0" applyNumberFormat="1" applyFont="1" applyBorder="1"/>
    <xf numFmtId="174" fontId="33" fillId="0" borderId="1" xfId="0" applyNumberFormat="1" applyFont="1" applyBorder="1"/>
    <xf numFmtId="174" fontId="33" fillId="0" borderId="20" xfId="0" applyNumberFormat="1" applyFont="1" applyBorder="1"/>
    <xf numFmtId="174" fontId="33" fillId="0" borderId="0" xfId="0" applyNumberFormat="1" applyFont="1"/>
    <xf numFmtId="174" fontId="31" fillId="17" borderId="1" xfId="0" applyNumberFormat="1" applyFont="1" applyFill="1" applyBorder="1"/>
    <xf numFmtId="174" fontId="34" fillId="17" borderId="1" xfId="0" applyNumberFormat="1" applyFont="1" applyFill="1" applyBorder="1"/>
    <xf numFmtId="174" fontId="34" fillId="17" borderId="20" xfId="0" applyNumberFormat="1" applyFont="1" applyFill="1" applyBorder="1"/>
    <xf numFmtId="165" fontId="30" fillId="0" borderId="0" xfId="0" applyNumberFormat="1" applyFont="1"/>
    <xf numFmtId="174" fontId="31" fillId="17" borderId="20" xfId="0" applyNumberFormat="1" applyFont="1" applyFill="1" applyBorder="1"/>
    <xf numFmtId="174" fontId="31" fillId="18" borderId="1" xfId="0" applyNumberFormat="1" applyFont="1" applyFill="1" applyBorder="1"/>
    <xf numFmtId="174" fontId="32" fillId="18" borderId="1" xfId="0" applyNumberFormat="1" applyFont="1" applyFill="1" applyBorder="1"/>
    <xf numFmtId="174" fontId="34" fillId="18" borderId="1" xfId="0" applyNumberFormat="1" applyFont="1" applyFill="1" applyBorder="1"/>
    <xf numFmtId="174" fontId="34" fillId="18" borderId="20" xfId="0" applyNumberFormat="1" applyFont="1" applyFill="1" applyBorder="1"/>
    <xf numFmtId="174" fontId="31" fillId="0" borderId="1" xfId="0" applyNumberFormat="1" applyFont="1" applyBorder="1" applyAlignment="1">
      <alignment horizontal="left"/>
    </xf>
    <xf numFmtId="174" fontId="32" fillId="0" borderId="1" xfId="0" applyNumberFormat="1" applyFont="1" applyBorder="1"/>
    <xf numFmtId="174" fontId="34" fillId="0" borderId="1" xfId="0" applyNumberFormat="1" applyFont="1" applyBorder="1"/>
    <xf numFmtId="164" fontId="12" fillId="0" borderId="0" xfId="0" applyNumberFormat="1" applyFont="1" applyAlignment="1">
      <alignment horizontal="center" vertical="center" wrapText="1"/>
    </xf>
    <xf numFmtId="168" fontId="35" fillId="0" borderId="0" xfId="0" applyNumberFormat="1" applyFont="1"/>
    <xf numFmtId="168" fontId="0" fillId="0" borderId="0" xfId="0" applyNumberFormat="1"/>
    <xf numFmtId="181" fontId="0" fillId="0" borderId="0" xfId="0" applyNumberFormat="1"/>
    <xf numFmtId="174" fontId="0" fillId="0" borderId="0" xfId="0" applyNumberFormat="1" applyAlignment="1">
      <alignment horizontal="left"/>
    </xf>
    <xf numFmtId="174" fontId="0" fillId="0" borderId="0" xfId="0" applyNumberFormat="1"/>
    <xf numFmtId="165" fontId="38" fillId="0" borderId="0" xfId="0" applyNumberFormat="1" applyFont="1" applyAlignment="1">
      <alignment vertical="center"/>
    </xf>
    <xf numFmtId="179" fontId="42" fillId="0" borderId="0" xfId="0" applyNumberFormat="1" applyFont="1" applyAlignment="1">
      <alignment horizontal="center" vertical="center"/>
    </xf>
    <xf numFmtId="174" fontId="45" fillId="19" borderId="27" xfId="0" applyNumberFormat="1" applyFont="1" applyFill="1" applyBorder="1" applyAlignment="1">
      <alignment horizontal="center" vertical="center" wrapText="1"/>
    </xf>
    <xf numFmtId="174" fontId="45" fillId="19" borderId="30" xfId="0" applyNumberFormat="1" applyFont="1" applyFill="1" applyBorder="1" applyAlignment="1">
      <alignment horizontal="center" vertical="center" wrapText="1"/>
    </xf>
    <xf numFmtId="174" fontId="46" fillId="6" borderId="31" xfId="0" applyNumberFormat="1" applyFont="1" applyFill="1" applyBorder="1" applyAlignment="1">
      <alignment vertical="center"/>
    </xf>
    <xf numFmtId="182" fontId="46" fillId="0" borderId="29" xfId="0" applyNumberFormat="1" applyFont="1" applyBorder="1" applyAlignment="1">
      <alignment horizontal="center" vertical="center"/>
    </xf>
    <xf numFmtId="182" fontId="46" fillId="0" borderId="32" xfId="0" applyNumberFormat="1" applyFont="1" applyBorder="1" applyAlignment="1">
      <alignment horizontal="center" vertical="center"/>
    </xf>
    <xf numFmtId="182" fontId="46" fillId="6" borderId="29" xfId="0" applyNumberFormat="1" applyFont="1" applyFill="1" applyBorder="1" applyAlignment="1">
      <alignment horizontal="center" vertical="center"/>
    </xf>
    <xf numFmtId="182" fontId="47" fillId="0" borderId="0" xfId="0" applyNumberFormat="1" applyFont="1" applyAlignment="1">
      <alignment vertical="center"/>
    </xf>
    <xf numFmtId="182" fontId="48" fillId="0" borderId="0" xfId="0" applyNumberFormat="1" applyFont="1" applyAlignment="1">
      <alignment horizontal="center" vertical="center"/>
    </xf>
    <xf numFmtId="174" fontId="46" fillId="0" borderId="0" xfId="0" applyNumberFormat="1" applyFont="1" applyAlignment="1">
      <alignment horizontal="center" vertical="center"/>
    </xf>
    <xf numFmtId="182" fontId="46" fillId="0" borderId="0" xfId="0" applyNumberFormat="1" applyFont="1" applyAlignment="1">
      <alignment horizontal="center" vertical="center"/>
    </xf>
    <xf numFmtId="174" fontId="46" fillId="6" borderId="13" xfId="0" applyNumberFormat="1" applyFont="1" applyFill="1" applyBorder="1" applyAlignment="1">
      <alignment vertical="center"/>
    </xf>
    <xf numFmtId="182" fontId="46" fillId="0" borderId="33" xfId="0" applyNumberFormat="1" applyFont="1" applyBorder="1" applyAlignment="1">
      <alignment horizontal="center" vertical="center"/>
    </xf>
    <xf numFmtId="182" fontId="46" fillId="6" borderId="0" xfId="0" applyNumberFormat="1" applyFont="1" applyFill="1" applyAlignment="1">
      <alignment horizontal="center" vertical="center"/>
    </xf>
    <xf numFmtId="174" fontId="47" fillId="12" borderId="35" xfId="0" applyNumberFormat="1" applyFont="1" applyFill="1" applyBorder="1" applyAlignment="1">
      <alignment vertical="center"/>
    </xf>
    <xf numFmtId="182" fontId="47" fillId="3" borderId="35" xfId="0" applyNumberFormat="1" applyFont="1" applyFill="1" applyBorder="1" applyAlignment="1">
      <alignment vertical="center"/>
    </xf>
    <xf numFmtId="182" fontId="47" fillId="12" borderId="36" xfId="0" applyNumberFormat="1" applyFont="1" applyFill="1" applyBorder="1" applyAlignment="1">
      <alignment vertical="center"/>
    </xf>
    <xf numFmtId="182" fontId="47" fillId="12" borderId="37" xfId="0" applyNumberFormat="1" applyFont="1" applyFill="1" applyBorder="1" applyAlignment="1">
      <alignment vertical="center"/>
    </xf>
    <xf numFmtId="182" fontId="47" fillId="6" borderId="37" xfId="0" applyNumberFormat="1" applyFont="1" applyFill="1" applyBorder="1" applyAlignment="1">
      <alignment horizontal="center" vertical="center"/>
    </xf>
    <xf numFmtId="165" fontId="25" fillId="0" borderId="0" xfId="0" applyNumberFormat="1" applyFont="1" applyAlignment="1">
      <alignment vertical="center"/>
    </xf>
    <xf numFmtId="174" fontId="45" fillId="19" borderId="20" xfId="0" applyNumberFormat="1" applyFont="1" applyFill="1" applyBorder="1" applyAlignment="1">
      <alignment horizontal="center" vertical="center" wrapText="1"/>
    </xf>
    <xf numFmtId="174" fontId="45" fillId="19" borderId="1" xfId="0" applyNumberFormat="1" applyFont="1" applyFill="1" applyBorder="1" applyAlignment="1">
      <alignment horizontal="center" vertical="center" wrapText="1"/>
    </xf>
    <xf numFmtId="174" fontId="42" fillId="0" borderId="0" xfId="0" applyNumberFormat="1" applyFont="1" applyAlignment="1">
      <alignment horizontal="center" vertical="center" wrapText="1"/>
    </xf>
    <xf numFmtId="174" fontId="48" fillId="12" borderId="1" xfId="0" applyNumberFormat="1" applyFont="1" applyFill="1" applyBorder="1" applyAlignment="1">
      <alignment vertical="center"/>
    </xf>
    <xf numFmtId="174" fontId="48" fillId="0" borderId="1" xfId="0" applyNumberFormat="1" applyFont="1" applyBorder="1" applyAlignment="1">
      <alignment vertical="center"/>
    </xf>
    <xf numFmtId="174" fontId="48" fillId="0" borderId="19" xfId="0" applyNumberFormat="1" applyFont="1" applyBorder="1" applyAlignment="1">
      <alignment vertical="center"/>
    </xf>
    <xf numFmtId="174" fontId="48" fillId="16" borderId="19" xfId="0" applyNumberFormat="1" applyFont="1" applyFill="1" applyBorder="1" applyAlignment="1">
      <alignment horizontal="center" vertical="center"/>
    </xf>
    <xf numFmtId="174" fontId="48" fillId="6" borderId="19" xfId="0" applyNumberFormat="1" applyFont="1" applyFill="1" applyBorder="1" applyAlignment="1">
      <alignment horizontal="center" vertical="center"/>
    </xf>
    <xf numFmtId="174" fontId="49" fillId="16" borderId="1" xfId="0" applyNumberFormat="1" applyFont="1" applyFill="1" applyBorder="1" applyAlignment="1">
      <alignment vertical="center"/>
    </xf>
    <xf numFmtId="165" fontId="54" fillId="0" borderId="1" xfId="0" applyNumberFormat="1" applyFont="1" applyBorder="1" applyAlignment="1">
      <alignment vertical="center"/>
    </xf>
    <xf numFmtId="182" fontId="48" fillId="0" borderId="1" xfId="0" applyNumberFormat="1" applyFont="1" applyBorder="1" applyAlignment="1">
      <alignment vertical="center" wrapText="1"/>
    </xf>
    <xf numFmtId="171" fontId="48" fillId="0" borderId="1" xfId="0" applyNumberFormat="1" applyFont="1" applyBorder="1" applyAlignment="1">
      <alignment vertical="center" wrapText="1"/>
    </xf>
    <xf numFmtId="174" fontId="48" fillId="0" borderId="1" xfId="0" applyNumberFormat="1" applyFont="1" applyBorder="1" applyAlignment="1">
      <alignment horizontal="center" vertical="center"/>
    </xf>
    <xf numFmtId="174" fontId="48" fillId="22" borderId="1" xfId="0" applyNumberFormat="1" applyFont="1" applyFill="1" applyBorder="1" applyAlignment="1">
      <alignment horizontal="center" vertical="center"/>
    </xf>
    <xf numFmtId="174" fontId="53" fillId="26" borderId="1" xfId="0" applyNumberFormat="1" applyFont="1" applyFill="1" applyBorder="1" applyAlignment="1">
      <alignment vertical="center"/>
    </xf>
    <xf numFmtId="174" fontId="48" fillId="0" borderId="0" xfId="0" applyNumberFormat="1" applyFont="1" applyAlignment="1">
      <alignment vertical="center"/>
    </xf>
    <xf numFmtId="174" fontId="48" fillId="16" borderId="1" xfId="0" applyNumberFormat="1" applyFont="1" applyFill="1" applyBorder="1" applyAlignment="1">
      <alignment horizontal="center" vertical="center"/>
    </xf>
    <xf numFmtId="174" fontId="48" fillId="6" borderId="1" xfId="0" applyNumberFormat="1" applyFont="1" applyFill="1" applyBorder="1" applyAlignment="1">
      <alignment horizontal="center" vertical="center"/>
    </xf>
    <xf numFmtId="174" fontId="48" fillId="0" borderId="1" xfId="0" applyNumberFormat="1" applyFont="1" applyBorder="1" applyAlignment="1">
      <alignment horizontal="right" vertical="center"/>
    </xf>
    <xf numFmtId="174" fontId="48" fillId="3" borderId="1" xfId="0" applyNumberFormat="1" applyFont="1" applyFill="1" applyBorder="1" applyAlignment="1">
      <alignment horizontal="center" vertical="center"/>
    </xf>
    <xf numFmtId="174" fontId="49" fillId="3" borderId="1" xfId="0" applyNumberFormat="1" applyFont="1" applyFill="1" applyBorder="1" applyAlignment="1">
      <alignment vertical="center"/>
    </xf>
    <xf numFmtId="174" fontId="49" fillId="0" borderId="1" xfId="0" applyNumberFormat="1" applyFont="1" applyBorder="1" applyAlignment="1">
      <alignment vertical="center"/>
    </xf>
    <xf numFmtId="174" fontId="48" fillId="27" borderId="1" xfId="0" applyNumberFormat="1" applyFont="1" applyFill="1" applyBorder="1" applyAlignment="1">
      <alignment vertical="center"/>
    </xf>
    <xf numFmtId="165" fontId="48" fillId="15" borderId="1" xfId="0" applyNumberFormat="1" applyFont="1" applyFill="1" applyBorder="1" applyAlignment="1">
      <alignment horizontal="right" vertical="center"/>
    </xf>
    <xf numFmtId="174" fontId="49" fillId="28" borderId="1" xfId="0" applyNumberFormat="1" applyFont="1" applyFill="1" applyBorder="1" applyAlignment="1">
      <alignment vertical="center"/>
    </xf>
    <xf numFmtId="182" fontId="48" fillId="0" borderId="1" xfId="0" applyNumberFormat="1" applyFont="1" applyBorder="1" applyAlignment="1">
      <alignment horizontal="center" vertical="center"/>
    </xf>
    <xf numFmtId="174" fontId="47" fillId="12" borderId="1" xfId="0" applyNumberFormat="1" applyFont="1" applyFill="1" applyBorder="1" applyAlignment="1">
      <alignment vertical="center"/>
    </xf>
    <xf numFmtId="174" fontId="47" fillId="6" borderId="1" xfId="0" applyNumberFormat="1" applyFont="1" applyFill="1" applyBorder="1" applyAlignment="1">
      <alignment horizontal="center" vertical="center"/>
    </xf>
    <xf numFmtId="174" fontId="47" fillId="12" borderId="1" xfId="0" applyNumberFormat="1" applyFont="1" applyFill="1" applyBorder="1" applyAlignment="1">
      <alignment horizontal="center" vertical="center" wrapText="1"/>
    </xf>
    <xf numFmtId="174" fontId="49" fillId="0" borderId="0" xfId="0" applyNumberFormat="1" applyFont="1" applyAlignment="1">
      <alignment vertical="center"/>
    </xf>
    <xf numFmtId="174" fontId="48" fillId="6" borderId="0" xfId="0" applyNumberFormat="1" applyFont="1" applyFill="1" applyAlignment="1">
      <alignment horizontal="center" vertical="center"/>
    </xf>
    <xf numFmtId="182" fontId="48" fillId="0" borderId="0" xfId="0" applyNumberFormat="1" applyFont="1" applyAlignment="1">
      <alignment vertical="center"/>
    </xf>
    <xf numFmtId="174" fontId="47" fillId="0" borderId="0" xfId="0" applyNumberFormat="1" applyFont="1" applyAlignment="1">
      <alignment vertical="center"/>
    </xf>
    <xf numFmtId="174" fontId="48" fillId="6" borderId="0" xfId="0" applyNumberFormat="1" applyFont="1" applyFill="1" applyAlignment="1">
      <alignment vertical="center"/>
    </xf>
    <xf numFmtId="182" fontId="49" fillId="0" borderId="1" xfId="0" applyNumberFormat="1" applyFont="1" applyBorder="1" applyAlignment="1">
      <alignment vertical="center"/>
    </xf>
    <xf numFmtId="174" fontId="47" fillId="12" borderId="1" xfId="0" applyNumberFormat="1" applyFont="1" applyFill="1" applyBorder="1" applyAlignment="1">
      <alignment horizontal="left" vertical="center"/>
    </xf>
    <xf numFmtId="175" fontId="48" fillId="0" borderId="0" xfId="0" applyNumberFormat="1" applyFont="1" applyAlignment="1">
      <alignment vertical="center"/>
    </xf>
    <xf numFmtId="174" fontId="55" fillId="0" borderId="0" xfId="0" applyNumberFormat="1" applyFont="1"/>
    <xf numFmtId="174" fontId="56" fillId="0" borderId="0" xfId="0" applyNumberFormat="1" applyFont="1"/>
    <xf numFmtId="174" fontId="56" fillId="18" borderId="1" xfId="0" applyNumberFormat="1" applyFont="1" applyFill="1" applyBorder="1" applyAlignment="1">
      <alignment horizontal="center"/>
    </xf>
    <xf numFmtId="165" fontId="55" fillId="0" borderId="0" xfId="0" applyNumberFormat="1" applyFont="1"/>
    <xf numFmtId="174" fontId="56" fillId="20" borderId="1" xfId="0" applyNumberFormat="1" applyFont="1" applyFill="1" applyBorder="1" applyAlignment="1">
      <alignment horizontal="center"/>
    </xf>
    <xf numFmtId="174" fontId="56" fillId="17" borderId="1" xfId="0" applyNumberFormat="1" applyFont="1" applyFill="1" applyBorder="1" applyAlignment="1">
      <alignment horizontal="center"/>
    </xf>
    <xf numFmtId="171" fontId="56" fillId="0" borderId="0" xfId="0" applyNumberFormat="1" applyFont="1"/>
    <xf numFmtId="174" fontId="64" fillId="0" borderId="0" xfId="0" applyNumberFormat="1" applyFont="1"/>
    <xf numFmtId="171" fontId="55" fillId="0" borderId="0" xfId="0" applyNumberFormat="1" applyFont="1"/>
    <xf numFmtId="171" fontId="55" fillId="10" borderId="0" xfId="0" applyNumberFormat="1" applyFont="1" applyFill="1"/>
    <xf numFmtId="174" fontId="56" fillId="17" borderId="1" xfId="0" applyNumberFormat="1" applyFont="1" applyFill="1" applyBorder="1" applyAlignment="1">
      <alignment horizontal="center" vertical="center" wrapText="1"/>
    </xf>
    <xf numFmtId="174" fontId="56" fillId="29" borderId="1" xfId="0" applyNumberFormat="1" applyFont="1" applyFill="1" applyBorder="1" applyAlignment="1">
      <alignment horizontal="center" vertical="center" wrapText="1"/>
    </xf>
    <xf numFmtId="174" fontId="56" fillId="20" borderId="1" xfId="0" applyNumberFormat="1" applyFont="1" applyFill="1" applyBorder="1" applyAlignment="1">
      <alignment horizontal="center" vertical="center" wrapText="1"/>
    </xf>
    <xf numFmtId="174" fontId="56" fillId="18" borderId="1" xfId="0" applyNumberFormat="1" applyFont="1" applyFill="1" applyBorder="1" applyAlignment="1">
      <alignment horizontal="center" vertical="center" wrapText="1"/>
    </xf>
    <xf numFmtId="174" fontId="56" fillId="0" borderId="0" xfId="0" applyNumberFormat="1" applyFont="1" applyAlignment="1">
      <alignment horizontal="center"/>
    </xf>
    <xf numFmtId="174" fontId="56" fillId="0" borderId="1" xfId="0" applyNumberFormat="1" applyFont="1" applyBorder="1"/>
    <xf numFmtId="174" fontId="56" fillId="17" borderId="1" xfId="0" applyNumberFormat="1" applyFont="1" applyFill="1" applyBorder="1"/>
    <xf numFmtId="174" fontId="56" fillId="29" borderId="1" xfId="0" applyNumberFormat="1" applyFont="1" applyFill="1" applyBorder="1"/>
    <xf numFmtId="174" fontId="56" fillId="20" borderId="1" xfId="0" applyNumberFormat="1" applyFont="1" applyFill="1" applyBorder="1" applyAlignment="1">
      <alignment horizontal="left"/>
    </xf>
    <xf numFmtId="174" fontId="56" fillId="18" borderId="1" xfId="0" applyNumberFormat="1" applyFont="1" applyFill="1" applyBorder="1"/>
    <xf numFmtId="174" fontId="56" fillId="18" borderId="19" xfId="0" applyNumberFormat="1" applyFont="1" applyFill="1" applyBorder="1"/>
    <xf numFmtId="174" fontId="55" fillId="0" borderId="1" xfId="0" applyNumberFormat="1" applyFont="1" applyBorder="1" applyAlignment="1">
      <alignment horizontal="left" indent="1"/>
    </xf>
    <xf numFmtId="174" fontId="55" fillId="17" borderId="1" xfId="0" applyNumberFormat="1" applyFont="1" applyFill="1" applyBorder="1"/>
    <xf numFmtId="174" fontId="55" fillId="29" borderId="1" xfId="0" applyNumberFormat="1" applyFont="1" applyFill="1" applyBorder="1"/>
    <xf numFmtId="174" fontId="55" fillId="20" borderId="1" xfId="0" applyNumberFormat="1" applyFont="1" applyFill="1" applyBorder="1" applyAlignment="1">
      <alignment horizontal="left" indent="1"/>
    </xf>
    <xf numFmtId="174" fontId="55" fillId="18" borderId="19" xfId="0" applyNumberFormat="1" applyFont="1" applyFill="1" applyBorder="1"/>
    <xf numFmtId="174" fontId="55" fillId="9" borderId="1" xfId="0" applyNumberFormat="1" applyFont="1" applyFill="1" applyBorder="1" applyAlignment="1">
      <alignment horizontal="left" indent="1"/>
    </xf>
    <xf numFmtId="174" fontId="55" fillId="0" borderId="0" xfId="0" applyNumberFormat="1" applyFont="1" applyAlignment="1">
      <alignment horizontal="left" indent="1"/>
    </xf>
    <xf numFmtId="174" fontId="55" fillId="0" borderId="0" xfId="0" applyNumberFormat="1" applyFont="1" applyAlignment="1">
      <alignment horizontal="center"/>
    </xf>
    <xf numFmtId="174" fontId="65" fillId="0" borderId="0" xfId="0" applyNumberFormat="1" applyFont="1" applyAlignment="1">
      <alignment horizontal="center"/>
    </xf>
    <xf numFmtId="174" fontId="56" fillId="26" borderId="1" xfId="0" applyNumberFormat="1" applyFont="1" applyFill="1" applyBorder="1"/>
    <xf numFmtId="174" fontId="66" fillId="0" borderId="0" xfId="0" applyNumberFormat="1" applyFont="1" applyAlignment="1">
      <alignment horizontal="left" indent="1"/>
    </xf>
    <xf numFmtId="174" fontId="56" fillId="0" borderId="1" xfId="0" applyNumberFormat="1" applyFont="1" applyBorder="1" applyAlignment="1">
      <alignment horizontal="left"/>
    </xf>
    <xf numFmtId="174" fontId="56" fillId="17" borderId="1" xfId="0" applyNumberFormat="1" applyFont="1" applyFill="1" applyBorder="1" applyAlignment="1">
      <alignment horizontal="left"/>
    </xf>
    <xf numFmtId="174" fontId="56" fillId="29" borderId="1" xfId="0" applyNumberFormat="1" applyFont="1" applyFill="1" applyBorder="1" applyAlignment="1">
      <alignment horizontal="left"/>
    </xf>
    <xf numFmtId="174" fontId="56" fillId="18" borderId="1" xfId="0" applyNumberFormat="1" applyFont="1" applyFill="1" applyBorder="1" applyAlignment="1">
      <alignment horizontal="left"/>
    </xf>
    <xf numFmtId="174" fontId="56" fillId="26" borderId="1" xfId="0" applyNumberFormat="1" applyFont="1" applyFill="1" applyBorder="1" applyAlignment="1">
      <alignment horizontal="left"/>
    </xf>
    <xf numFmtId="174" fontId="55" fillId="17" borderId="1" xfId="0" applyNumberFormat="1" applyFont="1" applyFill="1" applyBorder="1" applyAlignment="1">
      <alignment horizontal="left" indent="1"/>
    </xf>
    <xf numFmtId="174" fontId="55" fillId="29" borderId="1" xfId="0" applyNumberFormat="1" applyFont="1" applyFill="1" applyBorder="1" applyAlignment="1">
      <alignment horizontal="left" indent="1"/>
    </xf>
    <xf numFmtId="174" fontId="55" fillId="18" borderId="1" xfId="0" applyNumberFormat="1" applyFont="1" applyFill="1" applyBorder="1" applyAlignment="1">
      <alignment horizontal="left" indent="1"/>
    </xf>
    <xf numFmtId="174" fontId="55" fillId="0" borderId="1" xfId="0" applyNumberFormat="1" applyFont="1" applyBorder="1"/>
    <xf numFmtId="174" fontId="55" fillId="3" borderId="1" xfId="0" applyNumberFormat="1" applyFont="1" applyFill="1" applyBorder="1"/>
    <xf numFmtId="183" fontId="55" fillId="0" borderId="0" xfId="0" applyNumberFormat="1" applyFont="1"/>
    <xf numFmtId="174" fontId="56" fillId="0" borderId="25" xfId="0" applyNumberFormat="1" applyFont="1" applyBorder="1" applyAlignment="1">
      <alignment horizontal="left" indent="1"/>
    </xf>
    <xf numFmtId="174" fontId="56" fillId="0" borderId="19" xfId="0" applyNumberFormat="1" applyFont="1" applyBorder="1"/>
    <xf numFmtId="174" fontId="56" fillId="3" borderId="0" xfId="0" applyNumberFormat="1" applyFont="1" applyFill="1" applyAlignment="1">
      <alignment horizontal="left" indent="1"/>
    </xf>
    <xf numFmtId="174" fontId="55" fillId="3" borderId="0" xfId="0" applyNumberFormat="1" applyFont="1" applyFill="1" applyAlignment="1">
      <alignment horizontal="left" indent="1"/>
    </xf>
    <xf numFmtId="184" fontId="0" fillId="0" borderId="39" xfId="0" applyNumberFormat="1" applyBorder="1"/>
    <xf numFmtId="185" fontId="0" fillId="0" borderId="39" xfId="0" applyNumberFormat="1" applyBorder="1"/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88" fontId="5" fillId="0" borderId="0" xfId="0" applyNumberFormat="1" applyFont="1" applyAlignment="1">
      <alignment horizontal="center" vertical="center" wrapText="1"/>
    </xf>
    <xf numFmtId="43" fontId="5" fillId="0" borderId="0" xfId="7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0" fontId="17" fillId="0" borderId="2" xfId="0" applyNumberFormat="1" applyFont="1" applyBorder="1" applyAlignment="1">
      <alignment horizontal="center" vertical="center" wrapText="1"/>
    </xf>
    <xf numFmtId="174" fontId="17" fillId="0" borderId="2" xfId="0" applyNumberFormat="1" applyFont="1" applyBorder="1" applyAlignment="1">
      <alignment horizontal="center" vertical="center" wrapText="1"/>
    </xf>
    <xf numFmtId="10" fontId="17" fillId="0" borderId="45" xfId="0" applyNumberFormat="1" applyFont="1" applyBorder="1" applyAlignment="1">
      <alignment horizontal="center" vertical="center" wrapText="1"/>
    </xf>
    <xf numFmtId="43" fontId="55" fillId="0" borderId="0" xfId="0" applyNumberFormat="1" applyFont="1"/>
    <xf numFmtId="10" fontId="5" fillId="0" borderId="0" xfId="8" applyNumberFormat="1" applyFont="1" applyAlignment="1">
      <alignment horizontal="center" vertical="center" wrapText="1"/>
    </xf>
    <xf numFmtId="174" fontId="71" fillId="27" borderId="1" xfId="0" applyNumberFormat="1" applyFont="1" applyFill="1" applyBorder="1" applyAlignment="1">
      <alignment vertical="center"/>
    </xf>
    <xf numFmtId="4" fontId="72" fillId="0" borderId="0" xfId="0" applyNumberFormat="1" applyFont="1" applyAlignment="1">
      <alignment vertical="center"/>
    </xf>
    <xf numFmtId="189" fontId="5" fillId="0" borderId="0" xfId="8" applyNumberFormat="1" applyFont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164" fontId="5" fillId="0" borderId="47" xfId="0" applyNumberFormat="1" applyFont="1" applyBorder="1" applyAlignment="1">
      <alignment horizontal="center" vertical="center" wrapText="1"/>
    </xf>
    <xf numFmtId="164" fontId="5" fillId="0" borderId="48" xfId="0" applyNumberFormat="1" applyFont="1" applyBorder="1" applyAlignment="1">
      <alignment horizontal="center" vertical="center" wrapText="1"/>
    </xf>
    <xf numFmtId="188" fontId="5" fillId="0" borderId="49" xfId="0" applyNumberFormat="1" applyFont="1" applyBorder="1" applyAlignment="1">
      <alignment horizontal="center" vertical="center" wrapText="1"/>
    </xf>
    <xf numFmtId="170" fontId="5" fillId="0" borderId="48" xfId="8" applyNumberFormat="1" applyFont="1" applyBorder="1" applyAlignment="1">
      <alignment horizontal="center" vertical="center" wrapText="1"/>
    </xf>
    <xf numFmtId="0" fontId="5" fillId="0" borderId="47" xfId="0" applyFont="1" applyBorder="1" applyAlignment="1">
      <alignment horizontal="right" vertical="center" wrapText="1"/>
    </xf>
    <xf numFmtId="10" fontId="5" fillId="0" borderId="48" xfId="8" applyNumberFormat="1" applyFont="1" applyBorder="1" applyAlignment="1">
      <alignment horizontal="center" vertical="center" wrapText="1"/>
    </xf>
    <xf numFmtId="188" fontId="5" fillId="0" borderId="48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3" fontId="0" fillId="0" borderId="0" xfId="7" applyFont="1"/>
    <xf numFmtId="10" fontId="0" fillId="0" borderId="0" xfId="8" applyNumberFormat="1" applyFont="1"/>
    <xf numFmtId="43" fontId="5" fillId="0" borderId="49" xfId="7" applyFont="1" applyBorder="1" applyAlignment="1">
      <alignment horizontal="center" vertical="center" wrapText="1"/>
    </xf>
    <xf numFmtId="170" fontId="5" fillId="0" borderId="48" xfId="0" applyNumberFormat="1" applyFont="1" applyBorder="1" applyAlignment="1">
      <alignment horizontal="center" vertical="center" wrapText="1"/>
    </xf>
    <xf numFmtId="43" fontId="5" fillId="0" borderId="48" xfId="7" applyFont="1" applyBorder="1" applyAlignment="1">
      <alignment horizontal="center" vertical="center" wrapText="1"/>
    </xf>
    <xf numFmtId="0" fontId="73" fillId="36" borderId="1" xfId="0" applyFont="1" applyFill="1" applyBorder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  <xf numFmtId="43" fontId="15" fillId="0" borderId="0" xfId="0" applyNumberFormat="1" applyFont="1" applyAlignment="1">
      <alignment horizontal="right"/>
    </xf>
    <xf numFmtId="189" fontId="15" fillId="0" borderId="0" xfId="8" applyNumberFormat="1" applyFont="1"/>
    <xf numFmtId="10" fontId="5" fillId="0" borderId="1" xfId="8" applyNumberFormat="1" applyFont="1" applyBorder="1" applyAlignment="1">
      <alignment horizontal="center" vertical="center" wrapText="1"/>
    </xf>
    <xf numFmtId="174" fontId="71" fillId="0" borderId="0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2" xfId="0" applyBorder="1"/>
    <xf numFmtId="0" fontId="0" fillId="0" borderId="20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0" fillId="0" borderId="0" xfId="0"/>
    <xf numFmtId="0" fontId="34" fillId="0" borderId="1" xfId="0" applyFont="1" applyBorder="1" applyAlignment="1">
      <alignment horizontal="left"/>
    </xf>
    <xf numFmtId="0" fontId="30" fillId="0" borderId="1" xfId="0" applyFont="1" applyBorder="1" applyAlignment="1">
      <alignment horizontal="center" vertical="center" wrapText="1"/>
    </xf>
    <xf numFmtId="0" fontId="0" fillId="0" borderId="19" xfId="0" applyBorder="1"/>
    <xf numFmtId="0" fontId="30" fillId="0" borderId="1" xfId="0" applyFont="1" applyBorder="1" applyAlignment="1">
      <alignment horizontal="left" vertical="center" wrapText="1"/>
    </xf>
    <xf numFmtId="0" fontId="31" fillId="3" borderId="1" xfId="0" applyFont="1" applyFill="1" applyBorder="1" applyAlignment="1">
      <alignment horizontal="center"/>
    </xf>
    <xf numFmtId="0" fontId="30" fillId="0" borderId="0" xfId="0" applyFont="1"/>
    <xf numFmtId="0" fontId="34" fillId="17" borderId="1" xfId="0" applyFont="1" applyFill="1" applyBorder="1" applyAlignment="1">
      <alignment horizontal="left"/>
    </xf>
    <xf numFmtId="0" fontId="34" fillId="0" borderId="1" xfId="0" applyFont="1" applyBorder="1" applyAlignment="1">
      <alignment horizontal="left" vertical="center" wrapText="1"/>
    </xf>
    <xf numFmtId="0" fontId="0" fillId="0" borderId="24" xfId="0" applyBorder="1"/>
    <xf numFmtId="0" fontId="0" fillId="0" borderId="16" xfId="0" applyBorder="1"/>
    <xf numFmtId="0" fontId="0" fillId="0" borderId="18" xfId="0" applyBorder="1"/>
    <xf numFmtId="174" fontId="31" fillId="0" borderId="1" xfId="0" applyNumberFormat="1" applyFont="1" applyBorder="1" applyAlignment="1">
      <alignment horizontal="left"/>
    </xf>
    <xf numFmtId="0" fontId="31" fillId="0" borderId="1" xfId="0" applyFont="1" applyBorder="1" applyAlignment="1">
      <alignment horizontal="left" vertical="center" wrapText="1"/>
    </xf>
    <xf numFmtId="174" fontId="31" fillId="0" borderId="1" xfId="0" applyNumberFormat="1" applyFont="1" applyBorder="1" applyAlignment="1">
      <alignment horizontal="left" vertical="center" wrapText="1"/>
    </xf>
    <xf numFmtId="174" fontId="30" fillId="0" borderId="1" xfId="0" applyNumberFormat="1" applyFont="1" applyBorder="1" applyAlignment="1">
      <alignment horizontal="left" vertical="center" wrapText="1"/>
    </xf>
    <xf numFmtId="0" fontId="31" fillId="17" borderId="1" xfId="0" applyFont="1" applyFill="1" applyBorder="1" applyAlignment="1">
      <alignment horizontal="left"/>
    </xf>
    <xf numFmtId="0" fontId="31" fillId="18" borderId="1" xfId="0" applyFont="1" applyFill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4" fillId="18" borderId="1" xfId="0" applyFont="1" applyFill="1" applyBorder="1" applyAlignment="1">
      <alignment horizontal="left"/>
    </xf>
    <xf numFmtId="4" fontId="39" fillId="0" borderId="0" xfId="0" applyNumberFormat="1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4" fontId="15" fillId="6" borderId="0" xfId="0" applyNumberFormat="1" applyFont="1" applyFill="1" applyAlignment="1">
      <alignment horizontal="center" vertical="center"/>
    </xf>
    <xf numFmtId="0" fontId="49" fillId="20" borderId="1" xfId="0" applyFont="1" applyFill="1" applyBorder="1" applyAlignment="1">
      <alignment horizontal="left"/>
    </xf>
    <xf numFmtId="0" fontId="50" fillId="19" borderId="1" xfId="0" applyFont="1" applyFill="1" applyBorder="1" applyAlignment="1">
      <alignment horizontal="left" vertical="center"/>
    </xf>
    <xf numFmtId="4" fontId="50" fillId="24" borderId="1" xfId="0" applyNumberFormat="1" applyFont="1" applyFill="1" applyBorder="1" applyAlignment="1">
      <alignment horizontal="center" vertical="center"/>
    </xf>
    <xf numFmtId="4" fontId="50" fillId="19" borderId="17" xfId="0" applyNumberFormat="1" applyFont="1" applyFill="1" applyBorder="1" applyAlignment="1">
      <alignment horizontal="center" vertical="center"/>
    </xf>
    <xf numFmtId="0" fontId="0" fillId="0" borderId="17" xfId="0" applyBorder="1"/>
    <xf numFmtId="4" fontId="50" fillId="23" borderId="1" xfId="0" applyNumberFormat="1" applyFont="1" applyFill="1" applyBorder="1" applyAlignment="1">
      <alignment horizontal="center" vertical="center"/>
    </xf>
    <xf numFmtId="0" fontId="49" fillId="21" borderId="1" xfId="0" applyFont="1" applyFill="1" applyBorder="1" applyAlignment="1">
      <alignment horizontal="left"/>
    </xf>
    <xf numFmtId="0" fontId="50" fillId="19" borderId="20" xfId="0" applyFont="1" applyFill="1" applyBorder="1" applyAlignment="1">
      <alignment horizontal="left"/>
    </xf>
    <xf numFmtId="0" fontId="49" fillId="2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0" fillId="0" borderId="23" xfId="0" applyBorder="1"/>
    <xf numFmtId="4" fontId="26" fillId="2" borderId="1" xfId="0" applyNumberFormat="1" applyFont="1" applyFill="1" applyBorder="1" applyAlignment="1">
      <alignment horizontal="center" vertical="center" wrapText="1"/>
    </xf>
    <xf numFmtId="4" fontId="18" fillId="5" borderId="1" xfId="0" applyNumberFormat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41" xfId="0" applyBorder="1"/>
    <xf numFmtId="0" fontId="0" fillId="0" borderId="42" xfId="0" applyBorder="1"/>
    <xf numFmtId="4" fontId="18" fillId="2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4" fontId="18" fillId="2" borderId="20" xfId="0" applyNumberFormat="1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56" fillId="29" borderId="1" xfId="0" applyFont="1" applyFill="1" applyBorder="1" applyAlignment="1">
      <alignment horizontal="center"/>
    </xf>
    <xf numFmtId="0" fontId="56" fillId="17" borderId="21" xfId="0" applyFont="1" applyFill="1" applyBorder="1" applyAlignment="1">
      <alignment horizontal="center"/>
    </xf>
    <xf numFmtId="0" fontId="7" fillId="30" borderId="0" xfId="0" applyFont="1" applyFill="1" applyAlignment="1">
      <alignment horizontal="center"/>
    </xf>
    <xf numFmtId="0" fontId="9" fillId="31" borderId="40" xfId="0" applyFont="1" applyFill="1" applyBorder="1" applyAlignment="1">
      <alignment horizontal="center"/>
    </xf>
    <xf numFmtId="0" fontId="0" fillId="0" borderId="40" xfId="0" applyBorder="1"/>
    <xf numFmtId="0" fontId="9" fillId="31" borderId="0" xfId="0" applyFont="1" applyFill="1" applyAlignment="1">
      <alignment horizontal="center"/>
    </xf>
    <xf numFmtId="0" fontId="7" fillId="30" borderId="0" xfId="0" applyFont="1" applyFill="1" applyAlignment="1">
      <alignment horizontal="left"/>
    </xf>
    <xf numFmtId="0" fontId="67" fillId="0" borderId="0" xfId="0" applyFont="1"/>
    <xf numFmtId="0" fontId="9" fillId="31" borderId="0" xfId="0" applyFont="1" applyFill="1"/>
  </cellXfs>
  <cellStyles count="9">
    <cellStyle name="Millares" xfId="7" builtinId="3"/>
    <cellStyle name="Millares 10" xfId="1"/>
    <cellStyle name="Millares 11" xfId="2"/>
    <cellStyle name="Millares 2" xfId="3"/>
    <cellStyle name="Normal" xfId="0" builtinId="0"/>
    <cellStyle name="Normal 2" xfId="4"/>
    <cellStyle name="Porcentaje" xfId="8" builtinId="5"/>
    <cellStyle name="Porcentual 2" xfId="5"/>
    <cellStyle name="Porcentual 8" xfId="6"/>
  </cellStyles>
  <dxfs count="29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D7E4BD"/>
      <rgbColor rgb="FF0000FF"/>
      <rgbColor rgb="FFFFFF00"/>
      <rgbColor rgb="FFE6E0EC"/>
      <rgbColor rgb="FF99FFCC"/>
      <rgbColor rgb="FFFDEADA"/>
      <rgbColor rgb="FFD9D9D9"/>
      <rgbColor rgb="FFF2F2F2"/>
      <rgbColor rgb="FF546829"/>
      <rgbColor rgb="FFFCE4D6"/>
      <rgbColor rgb="FF1F4E77"/>
      <rgbColor rgb="FFC0C0C0"/>
      <rgbColor rgb="FF948A54"/>
      <rgbColor rgb="FF94B2D7"/>
      <rgbColor rgb="FF6B31B5"/>
      <rgbColor rgb="FFFFFFCC"/>
      <rgbColor rgb="FFCCFFFF"/>
      <rgbColor rgb="FFECECEC"/>
      <rgbColor rgb="FFDF958E"/>
      <rgbColor rgb="FF346190"/>
      <rgbColor rgb="FFCCC1DA"/>
      <rgbColor rgb="FFFFF2CC"/>
      <rgbColor rgb="FFD7E0F2"/>
      <rgbColor rgb="FFFCD5B5"/>
      <rgbColor rgb="FFC3D69B"/>
      <rgbColor rgb="FFEEECE1"/>
      <rgbColor rgb="FFECEDEC"/>
      <rgbColor rgb="FF1F4C7A"/>
      <rgbColor rgb="FFEDF2F8"/>
      <rgbColor rgb="FF00B0E8"/>
      <rgbColor rgb="FFDBEBF7"/>
      <rgbColor rgb="FFCCFFCC"/>
      <rgbColor rgb="FFFFFF99"/>
      <rgbColor rgb="FF9DCEE1"/>
      <rgbColor rgb="FFC4BD97"/>
      <rgbColor rgb="FFB7B7BC"/>
      <rgbColor rgb="FFFAC08F"/>
      <rgbColor rgb="FF4E81BD"/>
      <rgbColor rgb="FF93CDDD"/>
      <rgbColor rgb="FF94CE52"/>
      <rgbColor rgb="FFFFC000"/>
      <rgbColor rgb="FFB7B7B7"/>
      <rgbColor rgb="FFE5690B"/>
      <rgbColor rgb="FF7B64A0"/>
      <rgbColor rgb="FFAEA0C3"/>
      <rgbColor rgb="FF1F497D"/>
      <rgbColor rgb="FF5C95D5"/>
      <rgbColor rgb="FFE6F0E9"/>
      <rgbColor rgb="FFDCE6F2"/>
      <rgbColor rgb="FF8D3327"/>
      <rgbColor rgb="FF5D5A61"/>
      <rgbColor rgb="FF333399"/>
      <rgbColor rgb="FF403A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 rot="0"/>
          <a:lstStyle/>
          <a:p>
            <a:pPr>
              <a:defRPr sz="1300" b="0" strike="noStrike">
                <a:uFillTx/>
                <a:latin typeface="Arial"/>
              </a:defRPr>
            </a:pPr>
            <a:r>
              <a:rPr lang="es-EC" sz="1200" b="1" strike="noStrike">
                <a:solidFill>
                  <a:srgbClr val="000000"/>
                </a:solidFill>
                <a:uFillTx/>
                <a:latin typeface="Calibri"/>
              </a:rPr>
              <a:t>DISTRIBUCION DE COSTOS</a:t>
            </a:r>
          </a:p>
        </c:rich>
      </c:tx>
      <c:overlay val="0"/>
      <c:spPr>
        <a:noFill/>
        <a:ln w="0">
          <a:noFill/>
          <a:prstDash val="solid"/>
        </a:ln>
      </c:spPr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0DD3-47EC-9D1B-9461EFDA4F67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D3-47EC-9D1B-9461EFDA4F67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D3-47EC-9D1B-9461EFDA4F67}"/>
              </c:ext>
            </c:extLst>
          </c:dPt>
          <c:dLbls>
            <c:dLbl>
              <c:idx val="0"/>
              <c:spPr>
                <a:ln>
                  <a:prstDash val="solid"/>
                </a:ln>
              </c:spPr>
              <c:txPr>
                <a:bodyPr wrap="square"/>
                <a:lstStyle/>
                <a:p>
                  <a:pPr>
                    <a:defRPr sz="1000" b="0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s-EC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0DD3-47EC-9D1B-9461EFDA4F67}"/>
                </c:ext>
              </c:extLst>
            </c:dLbl>
            <c:dLbl>
              <c:idx val="1"/>
              <c:spPr>
                <a:ln>
                  <a:prstDash val="solid"/>
                </a:ln>
              </c:spPr>
              <c:txPr>
                <a:bodyPr wrap="square"/>
                <a:lstStyle/>
                <a:p>
                  <a:pPr>
                    <a:defRPr sz="1000" b="0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s-EC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0DD3-47EC-9D1B-9461EFDA4F67}"/>
                </c:ext>
              </c:extLst>
            </c:dLbl>
            <c:dLbl>
              <c:idx val="2"/>
              <c:spPr>
                <a:ln>
                  <a:prstDash val="solid"/>
                </a:ln>
              </c:spPr>
              <c:txPr>
                <a:bodyPr wrap="square"/>
                <a:lstStyle/>
                <a:p>
                  <a:pPr>
                    <a:defRPr sz="1000" b="0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s-EC"/>
                </a:p>
              </c:txPr>
              <c:dLblPos val="ctr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0DD3-47EC-9D1B-9461EFDA4F67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s-EC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('PRESUPUESTO GENERAL'!$B$6,'PRESUPUESTO GENERAL'!$B$8,'PRESUPUESTO GENERAL'!$B$22)</c:f>
              <c:strCache>
                <c:ptCount val="3"/>
                <c:pt idx="0">
                  <c:v>TERRENO</c:v>
                </c:pt>
                <c:pt idx="1">
                  <c:v>COSTO DIRECTO</c:v>
                </c:pt>
                <c:pt idx="2">
                  <c:v>COSTO INDIRECTO</c:v>
                </c:pt>
              </c:strCache>
            </c:strRef>
          </c:cat>
          <c:val>
            <c:numRef>
              <c:f>('PRESUPUESTO GENERAL'!$I$6,'PRESUPUESTO GENERAL'!$I$8,'PRESUPUESTO GENERAL'!$I$22)</c:f>
              <c:numCache>
                <c:formatCode>0.00%</c:formatCode>
                <c:ptCount val="3"/>
                <c:pt idx="0">
                  <c:v>8.4520317581442989E-2</c:v>
                </c:pt>
                <c:pt idx="1">
                  <c:v>0.72074479050779749</c:v>
                </c:pt>
                <c:pt idx="2">
                  <c:v>0.19473489191075954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D3-47EC-9D1B-9461EFDA4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endParaRPr lang="es-EC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37995</xdr:rowOff>
    </xdr:from>
    <xdr:to>
      <xdr:col>8</xdr:col>
      <xdr:colOff>865080</xdr:colOff>
      <xdr:row>68</xdr:row>
      <xdr:rowOff>45555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7EE69001AAD6E93/ESTUDIOS/CORDILLERA/INSTITUTO%20CORDILLERA/PuntoEquilibrioCl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cuments/Empresa%20Rumi&#241;ahui/2026/Users/HP/Documents/Empresa%20Rumi&#241;ahui/Users/HP/Documents/Empresa%20Rumi&#241;ahui/2026/Users/santiago/Downloads/planilla-de-excel-para-el-aplicativo-de-compras-y-venta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cuments/Empresa%20Rumi&#241;ahui/2026/Users/HP/Documents/Empresa%20Rumi&#241;ahui/Users/HP/Documents/Empresa%20Rumi&#241;ahui/2026/D:/Correosenf/Jive/Terceros/Casa%20Grande/2010/Proyeccion%20a%20julio%202010%20IESS%2022-09-10%20(sin%20interes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o de Equilibrio"/>
      <sheetName val="Hoja1"/>
    </sheetNames>
    <sheetDataSet>
      <sheetData sheetId="0">
        <row r="30">
          <cell r="C30" t="str">
            <v>VENTAS</v>
          </cell>
        </row>
      </sheetData>
      <sheetData sheetId="1">
        <row r="11">
          <cell r="C11">
            <v>25</v>
          </cell>
        </row>
        <row r="15">
          <cell r="C15">
            <v>1890</v>
          </cell>
          <cell r="I15">
            <v>6.75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e Comprobantes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Sr. Simón Parra"/>
      <sheetName val="Etapas"/>
      <sheetName val="Cuadro de Areas"/>
      <sheetName val="Cuadro Resumen"/>
      <sheetName val="NUEVA D"/>
      <sheetName val="Balance 1"/>
      <sheetName val="Presupuesto"/>
      <sheetName val="Flujo de Caja Nuevo"/>
      <sheetName val="F Ingresos Areas Reales"/>
      <sheetName val="Cronograma Valorado"/>
      <sheetName val="Cronograma C.B."/>
      <sheetName val="Gráfico1"/>
      <sheetName val="Gráfico5"/>
      <sheetName val="Gráfico7"/>
      <sheetName val="Gráfico3"/>
      <sheetName val="Gráfico4"/>
      <sheetName val="Gráfico6"/>
      <sheetName val="Gráfico8"/>
      <sheetName val="Gráfico2"/>
      <sheetName val="Datos"/>
      <sheetName val="Publicidad"/>
    </sheetNames>
    <sheetDataSet>
      <sheetData sheetId="0"/>
      <sheetData sheetId="1"/>
      <sheetData sheetId="2"/>
      <sheetData sheetId="3">
        <row r="15">
          <cell r="K15" t="str">
            <v>Viviendas</v>
          </cell>
        </row>
      </sheetData>
      <sheetData sheetId="4"/>
      <sheetData sheetId="5"/>
      <sheetData sheetId="6">
        <row r="38">
          <cell r="G38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Zeros="0" tabSelected="1" topLeftCell="D1" zoomScale="70" zoomScaleNormal="70" workbookViewId="0">
      <selection activeCell="O7" sqref="O7"/>
    </sheetView>
  </sheetViews>
  <sheetFormatPr baseColWidth="10" defaultColWidth="11.42578125" defaultRowHeight="23.25" customHeight="1"/>
  <cols>
    <col min="1" max="2" width="11.42578125" style="1" customWidth="1"/>
    <col min="3" max="5" width="12.7109375" style="1" customWidth="1"/>
    <col min="6" max="9" width="18.7109375" style="1" customWidth="1"/>
    <col min="10" max="12" width="12.7109375" style="1" customWidth="1"/>
    <col min="13" max="258" width="11.42578125" style="1" customWidth="1"/>
    <col min="259" max="261" width="12.7109375" style="1" customWidth="1"/>
    <col min="262" max="265" width="18.7109375" style="1" customWidth="1"/>
    <col min="266" max="268" width="12.7109375" style="1" customWidth="1"/>
    <col min="269" max="514" width="11.42578125" style="1" customWidth="1"/>
    <col min="515" max="517" width="12.7109375" style="1" customWidth="1"/>
    <col min="518" max="521" width="18.7109375" style="1" customWidth="1"/>
    <col min="522" max="524" width="12.7109375" style="1" customWidth="1"/>
    <col min="525" max="770" width="11.42578125" style="1" customWidth="1"/>
    <col min="771" max="773" width="12.7109375" style="1" customWidth="1"/>
    <col min="774" max="777" width="18.7109375" style="1" customWidth="1"/>
    <col min="778" max="780" width="12.7109375" style="1" customWidth="1"/>
    <col min="781" max="1026" width="11.42578125" style="1" customWidth="1"/>
    <col min="1027" max="1029" width="12.7109375" style="1" customWidth="1"/>
    <col min="1030" max="1033" width="18.7109375" style="1" customWidth="1"/>
    <col min="1034" max="1036" width="12.7109375" style="1" customWidth="1"/>
    <col min="1037" max="1282" width="11.42578125" style="1" customWidth="1"/>
    <col min="1283" max="1285" width="12.7109375" style="1" customWidth="1"/>
    <col min="1286" max="1289" width="18.7109375" style="1" customWidth="1"/>
    <col min="1290" max="1292" width="12.7109375" style="1" customWidth="1"/>
    <col min="1293" max="1538" width="11.42578125" style="1" customWidth="1"/>
    <col min="1539" max="1541" width="12.7109375" style="1" customWidth="1"/>
    <col min="1542" max="1545" width="18.7109375" style="1" customWidth="1"/>
    <col min="1546" max="1548" width="12.7109375" style="1" customWidth="1"/>
    <col min="1549" max="1794" width="11.42578125" style="1" customWidth="1"/>
    <col min="1795" max="1797" width="12.7109375" style="1" customWidth="1"/>
    <col min="1798" max="1801" width="18.7109375" style="1" customWidth="1"/>
    <col min="1802" max="1804" width="12.7109375" style="1" customWidth="1"/>
    <col min="1805" max="2050" width="11.42578125" style="1" customWidth="1"/>
    <col min="2051" max="2053" width="12.7109375" style="1" customWidth="1"/>
    <col min="2054" max="2057" width="18.7109375" style="1" customWidth="1"/>
    <col min="2058" max="2060" width="12.7109375" style="1" customWidth="1"/>
    <col min="2061" max="2306" width="11.42578125" style="1" customWidth="1"/>
    <col min="2307" max="2309" width="12.7109375" style="1" customWidth="1"/>
    <col min="2310" max="2313" width="18.7109375" style="1" customWidth="1"/>
    <col min="2314" max="2316" width="12.7109375" style="1" customWidth="1"/>
    <col min="2317" max="2562" width="11.42578125" style="1" customWidth="1"/>
    <col min="2563" max="2565" width="12.7109375" style="1" customWidth="1"/>
    <col min="2566" max="2569" width="18.7109375" style="1" customWidth="1"/>
    <col min="2570" max="2572" width="12.7109375" style="1" customWidth="1"/>
    <col min="2573" max="2818" width="11.42578125" style="1" customWidth="1"/>
    <col min="2819" max="2821" width="12.7109375" style="1" customWidth="1"/>
    <col min="2822" max="2825" width="18.7109375" style="1" customWidth="1"/>
    <col min="2826" max="2828" width="12.7109375" style="1" customWidth="1"/>
    <col min="2829" max="3074" width="11.42578125" style="1" customWidth="1"/>
    <col min="3075" max="3077" width="12.7109375" style="1" customWidth="1"/>
    <col min="3078" max="3081" width="18.7109375" style="1" customWidth="1"/>
    <col min="3082" max="3084" width="12.7109375" style="1" customWidth="1"/>
    <col min="3085" max="3330" width="11.42578125" style="1" customWidth="1"/>
    <col min="3331" max="3333" width="12.7109375" style="1" customWidth="1"/>
    <col min="3334" max="3337" width="18.7109375" style="1" customWidth="1"/>
    <col min="3338" max="3340" width="12.7109375" style="1" customWidth="1"/>
    <col min="3341" max="3586" width="11.42578125" style="1" customWidth="1"/>
    <col min="3587" max="3589" width="12.7109375" style="1" customWidth="1"/>
    <col min="3590" max="3593" width="18.7109375" style="1" customWidth="1"/>
    <col min="3594" max="3596" width="12.7109375" style="1" customWidth="1"/>
    <col min="3597" max="3842" width="11.42578125" style="1" customWidth="1"/>
    <col min="3843" max="3845" width="12.7109375" style="1" customWidth="1"/>
    <col min="3846" max="3849" width="18.7109375" style="1" customWidth="1"/>
    <col min="3850" max="3852" width="12.7109375" style="1" customWidth="1"/>
    <col min="3853" max="4098" width="11.42578125" style="1" customWidth="1"/>
    <col min="4099" max="4101" width="12.7109375" style="1" customWidth="1"/>
    <col min="4102" max="4105" width="18.7109375" style="1" customWidth="1"/>
    <col min="4106" max="4108" width="12.7109375" style="1" customWidth="1"/>
    <col min="4109" max="4354" width="11.42578125" style="1" customWidth="1"/>
    <col min="4355" max="4357" width="12.7109375" style="1" customWidth="1"/>
    <col min="4358" max="4361" width="18.7109375" style="1" customWidth="1"/>
    <col min="4362" max="4364" width="12.7109375" style="1" customWidth="1"/>
    <col min="4365" max="4610" width="11.42578125" style="1" customWidth="1"/>
    <col min="4611" max="4613" width="12.7109375" style="1" customWidth="1"/>
    <col min="4614" max="4617" width="18.7109375" style="1" customWidth="1"/>
    <col min="4618" max="4620" width="12.7109375" style="1" customWidth="1"/>
    <col min="4621" max="4866" width="11.42578125" style="1" customWidth="1"/>
    <col min="4867" max="4869" width="12.7109375" style="1" customWidth="1"/>
    <col min="4870" max="4873" width="18.7109375" style="1" customWidth="1"/>
    <col min="4874" max="4876" width="12.7109375" style="1" customWidth="1"/>
    <col min="4877" max="5122" width="11.42578125" style="1" customWidth="1"/>
    <col min="5123" max="5125" width="12.7109375" style="1" customWidth="1"/>
    <col min="5126" max="5129" width="18.7109375" style="1" customWidth="1"/>
    <col min="5130" max="5132" width="12.7109375" style="1" customWidth="1"/>
    <col min="5133" max="5378" width="11.42578125" style="1" customWidth="1"/>
    <col min="5379" max="5381" width="12.7109375" style="1" customWidth="1"/>
    <col min="5382" max="5385" width="18.7109375" style="1" customWidth="1"/>
    <col min="5386" max="5388" width="12.7109375" style="1" customWidth="1"/>
    <col min="5389" max="5634" width="11.42578125" style="1" customWidth="1"/>
    <col min="5635" max="5637" width="12.7109375" style="1" customWidth="1"/>
    <col min="5638" max="5641" width="18.7109375" style="1" customWidth="1"/>
    <col min="5642" max="5644" width="12.7109375" style="1" customWidth="1"/>
    <col min="5645" max="5890" width="11.42578125" style="1" customWidth="1"/>
    <col min="5891" max="5893" width="12.7109375" style="1" customWidth="1"/>
    <col min="5894" max="5897" width="18.7109375" style="1" customWidth="1"/>
    <col min="5898" max="5900" width="12.7109375" style="1" customWidth="1"/>
    <col min="5901" max="6146" width="11.42578125" style="1" customWidth="1"/>
    <col min="6147" max="6149" width="12.7109375" style="1" customWidth="1"/>
    <col min="6150" max="6153" width="18.7109375" style="1" customWidth="1"/>
    <col min="6154" max="6156" width="12.7109375" style="1" customWidth="1"/>
    <col min="6157" max="6402" width="11.42578125" style="1" customWidth="1"/>
    <col min="6403" max="6405" width="12.7109375" style="1" customWidth="1"/>
    <col min="6406" max="6409" width="18.7109375" style="1" customWidth="1"/>
    <col min="6410" max="6412" width="12.7109375" style="1" customWidth="1"/>
    <col min="6413" max="6658" width="11.42578125" style="1" customWidth="1"/>
    <col min="6659" max="6661" width="12.7109375" style="1" customWidth="1"/>
    <col min="6662" max="6665" width="18.7109375" style="1" customWidth="1"/>
    <col min="6666" max="6668" width="12.7109375" style="1" customWidth="1"/>
    <col min="6669" max="6914" width="11.42578125" style="1" customWidth="1"/>
    <col min="6915" max="6917" width="12.7109375" style="1" customWidth="1"/>
    <col min="6918" max="6921" width="18.7109375" style="1" customWidth="1"/>
    <col min="6922" max="6924" width="12.7109375" style="1" customWidth="1"/>
    <col min="6925" max="7170" width="11.42578125" style="1" customWidth="1"/>
    <col min="7171" max="7173" width="12.7109375" style="1" customWidth="1"/>
    <col min="7174" max="7177" width="18.7109375" style="1" customWidth="1"/>
    <col min="7178" max="7180" width="12.7109375" style="1" customWidth="1"/>
    <col min="7181" max="7426" width="11.42578125" style="1" customWidth="1"/>
    <col min="7427" max="7429" width="12.7109375" style="1" customWidth="1"/>
    <col min="7430" max="7433" width="18.7109375" style="1" customWidth="1"/>
    <col min="7434" max="7436" width="12.7109375" style="1" customWidth="1"/>
    <col min="7437" max="7682" width="11.42578125" style="1" customWidth="1"/>
    <col min="7683" max="7685" width="12.7109375" style="1" customWidth="1"/>
    <col min="7686" max="7689" width="18.7109375" style="1" customWidth="1"/>
    <col min="7690" max="7692" width="12.7109375" style="1" customWidth="1"/>
    <col min="7693" max="7938" width="11.42578125" style="1" customWidth="1"/>
    <col min="7939" max="7941" width="12.7109375" style="1" customWidth="1"/>
    <col min="7942" max="7945" width="18.7109375" style="1" customWidth="1"/>
    <col min="7946" max="7948" width="12.7109375" style="1" customWidth="1"/>
    <col min="7949" max="8194" width="11.42578125" style="1" customWidth="1"/>
    <col min="8195" max="8197" width="12.7109375" style="1" customWidth="1"/>
    <col min="8198" max="8201" width="18.7109375" style="1" customWidth="1"/>
    <col min="8202" max="8204" width="12.7109375" style="1" customWidth="1"/>
    <col min="8205" max="8450" width="11.42578125" style="1" customWidth="1"/>
    <col min="8451" max="8453" width="12.7109375" style="1" customWidth="1"/>
    <col min="8454" max="8457" width="18.7109375" style="1" customWidth="1"/>
    <col min="8458" max="8460" width="12.7109375" style="1" customWidth="1"/>
    <col min="8461" max="8706" width="11.42578125" style="1" customWidth="1"/>
    <col min="8707" max="8709" width="12.7109375" style="1" customWidth="1"/>
    <col min="8710" max="8713" width="18.7109375" style="1" customWidth="1"/>
    <col min="8714" max="8716" width="12.7109375" style="1" customWidth="1"/>
    <col min="8717" max="8962" width="11.42578125" style="1" customWidth="1"/>
    <col min="8963" max="8965" width="12.7109375" style="1" customWidth="1"/>
    <col min="8966" max="8969" width="18.7109375" style="1" customWidth="1"/>
    <col min="8970" max="8972" width="12.7109375" style="1" customWidth="1"/>
    <col min="8973" max="9218" width="11.42578125" style="1" customWidth="1"/>
    <col min="9219" max="9221" width="12.7109375" style="1" customWidth="1"/>
    <col min="9222" max="9225" width="18.7109375" style="1" customWidth="1"/>
    <col min="9226" max="9228" width="12.7109375" style="1" customWidth="1"/>
    <col min="9229" max="9474" width="11.42578125" style="1" customWidth="1"/>
    <col min="9475" max="9477" width="12.7109375" style="1" customWidth="1"/>
    <col min="9478" max="9481" width="18.7109375" style="1" customWidth="1"/>
    <col min="9482" max="9484" width="12.7109375" style="1" customWidth="1"/>
    <col min="9485" max="9730" width="11.42578125" style="1" customWidth="1"/>
    <col min="9731" max="9733" width="12.7109375" style="1" customWidth="1"/>
    <col min="9734" max="9737" width="18.7109375" style="1" customWidth="1"/>
    <col min="9738" max="9740" width="12.7109375" style="1" customWidth="1"/>
    <col min="9741" max="9986" width="11.42578125" style="1" customWidth="1"/>
    <col min="9987" max="9989" width="12.7109375" style="1" customWidth="1"/>
    <col min="9990" max="9993" width="18.7109375" style="1" customWidth="1"/>
    <col min="9994" max="9996" width="12.7109375" style="1" customWidth="1"/>
    <col min="9997" max="10242" width="11.42578125" style="1" customWidth="1"/>
    <col min="10243" max="10245" width="12.7109375" style="1" customWidth="1"/>
    <col min="10246" max="10249" width="18.7109375" style="1" customWidth="1"/>
    <col min="10250" max="10252" width="12.7109375" style="1" customWidth="1"/>
    <col min="10253" max="10498" width="11.42578125" style="1" customWidth="1"/>
    <col min="10499" max="10501" width="12.7109375" style="1" customWidth="1"/>
    <col min="10502" max="10505" width="18.7109375" style="1" customWidth="1"/>
    <col min="10506" max="10508" width="12.7109375" style="1" customWidth="1"/>
    <col min="10509" max="10754" width="11.42578125" style="1" customWidth="1"/>
    <col min="10755" max="10757" width="12.7109375" style="1" customWidth="1"/>
    <col min="10758" max="10761" width="18.7109375" style="1" customWidth="1"/>
    <col min="10762" max="10764" width="12.7109375" style="1" customWidth="1"/>
    <col min="10765" max="11010" width="11.42578125" style="1" customWidth="1"/>
    <col min="11011" max="11013" width="12.7109375" style="1" customWidth="1"/>
    <col min="11014" max="11017" width="18.7109375" style="1" customWidth="1"/>
    <col min="11018" max="11020" width="12.7109375" style="1" customWidth="1"/>
    <col min="11021" max="11266" width="11.42578125" style="1" customWidth="1"/>
    <col min="11267" max="11269" width="12.7109375" style="1" customWidth="1"/>
    <col min="11270" max="11273" width="18.7109375" style="1" customWidth="1"/>
    <col min="11274" max="11276" width="12.7109375" style="1" customWidth="1"/>
    <col min="11277" max="11522" width="11.42578125" style="1" customWidth="1"/>
    <col min="11523" max="11525" width="12.7109375" style="1" customWidth="1"/>
    <col min="11526" max="11529" width="18.7109375" style="1" customWidth="1"/>
    <col min="11530" max="11532" width="12.7109375" style="1" customWidth="1"/>
    <col min="11533" max="11778" width="11.42578125" style="1" customWidth="1"/>
    <col min="11779" max="11781" width="12.7109375" style="1" customWidth="1"/>
    <col min="11782" max="11785" width="18.7109375" style="1" customWidth="1"/>
    <col min="11786" max="11788" width="12.7109375" style="1" customWidth="1"/>
    <col min="11789" max="12034" width="11.42578125" style="1" customWidth="1"/>
    <col min="12035" max="12037" width="12.7109375" style="1" customWidth="1"/>
    <col min="12038" max="12041" width="18.7109375" style="1" customWidth="1"/>
    <col min="12042" max="12044" width="12.7109375" style="1" customWidth="1"/>
    <col min="12045" max="12290" width="11.42578125" style="1" customWidth="1"/>
    <col min="12291" max="12293" width="12.7109375" style="1" customWidth="1"/>
    <col min="12294" max="12297" width="18.7109375" style="1" customWidth="1"/>
    <col min="12298" max="12300" width="12.7109375" style="1" customWidth="1"/>
    <col min="12301" max="12546" width="11.42578125" style="1" customWidth="1"/>
    <col min="12547" max="12549" width="12.7109375" style="1" customWidth="1"/>
    <col min="12550" max="12553" width="18.7109375" style="1" customWidth="1"/>
    <col min="12554" max="12556" width="12.7109375" style="1" customWidth="1"/>
    <col min="12557" max="12802" width="11.42578125" style="1" customWidth="1"/>
    <col min="12803" max="12805" width="12.7109375" style="1" customWidth="1"/>
    <col min="12806" max="12809" width="18.7109375" style="1" customWidth="1"/>
    <col min="12810" max="12812" width="12.7109375" style="1" customWidth="1"/>
    <col min="12813" max="13058" width="11.42578125" style="1" customWidth="1"/>
    <col min="13059" max="13061" width="12.7109375" style="1" customWidth="1"/>
    <col min="13062" max="13065" width="18.7109375" style="1" customWidth="1"/>
    <col min="13066" max="13068" width="12.7109375" style="1" customWidth="1"/>
    <col min="13069" max="13314" width="11.42578125" style="1" customWidth="1"/>
    <col min="13315" max="13317" width="12.7109375" style="1" customWidth="1"/>
    <col min="13318" max="13321" width="18.7109375" style="1" customWidth="1"/>
    <col min="13322" max="13324" width="12.7109375" style="1" customWidth="1"/>
    <col min="13325" max="13570" width="11.42578125" style="1" customWidth="1"/>
    <col min="13571" max="13573" width="12.7109375" style="1" customWidth="1"/>
    <col min="13574" max="13577" width="18.7109375" style="1" customWidth="1"/>
    <col min="13578" max="13580" width="12.7109375" style="1" customWidth="1"/>
    <col min="13581" max="13826" width="11.42578125" style="1" customWidth="1"/>
    <col min="13827" max="13829" width="12.7109375" style="1" customWidth="1"/>
    <col min="13830" max="13833" width="18.7109375" style="1" customWidth="1"/>
    <col min="13834" max="13836" width="12.7109375" style="1" customWidth="1"/>
    <col min="13837" max="14082" width="11.42578125" style="1" customWidth="1"/>
    <col min="14083" max="14085" width="12.7109375" style="1" customWidth="1"/>
    <col min="14086" max="14089" width="18.7109375" style="1" customWidth="1"/>
    <col min="14090" max="14092" width="12.7109375" style="1" customWidth="1"/>
    <col min="14093" max="14338" width="11.42578125" style="1" customWidth="1"/>
    <col min="14339" max="14341" width="12.7109375" style="1" customWidth="1"/>
    <col min="14342" max="14345" width="18.7109375" style="1" customWidth="1"/>
    <col min="14346" max="14348" width="12.7109375" style="1" customWidth="1"/>
    <col min="14349" max="14594" width="11.42578125" style="1" customWidth="1"/>
    <col min="14595" max="14597" width="12.7109375" style="1" customWidth="1"/>
    <col min="14598" max="14601" width="18.7109375" style="1" customWidth="1"/>
    <col min="14602" max="14604" width="12.7109375" style="1" customWidth="1"/>
    <col min="14605" max="14850" width="11.42578125" style="1" customWidth="1"/>
    <col min="14851" max="14853" width="12.7109375" style="1" customWidth="1"/>
    <col min="14854" max="14857" width="18.7109375" style="1" customWidth="1"/>
    <col min="14858" max="14860" width="12.7109375" style="1" customWidth="1"/>
    <col min="14861" max="15106" width="11.42578125" style="1" customWidth="1"/>
    <col min="15107" max="15109" width="12.7109375" style="1" customWidth="1"/>
    <col min="15110" max="15113" width="18.7109375" style="1" customWidth="1"/>
    <col min="15114" max="15116" width="12.7109375" style="1" customWidth="1"/>
    <col min="15117" max="15362" width="11.42578125" style="1" customWidth="1"/>
    <col min="15363" max="15365" width="12.7109375" style="1" customWidth="1"/>
    <col min="15366" max="15369" width="18.7109375" style="1" customWidth="1"/>
    <col min="15370" max="15372" width="12.7109375" style="1" customWidth="1"/>
    <col min="15373" max="15618" width="11.42578125" style="1" customWidth="1"/>
    <col min="15619" max="15621" width="12.7109375" style="1" customWidth="1"/>
    <col min="15622" max="15625" width="18.7109375" style="1" customWidth="1"/>
    <col min="15626" max="15628" width="12.7109375" style="1" customWidth="1"/>
    <col min="15629" max="15874" width="11.42578125" style="1" customWidth="1"/>
    <col min="15875" max="15877" width="12.7109375" style="1" customWidth="1"/>
    <col min="15878" max="15881" width="18.7109375" style="1" customWidth="1"/>
    <col min="15882" max="15884" width="12.7109375" style="1" customWidth="1"/>
    <col min="15885" max="16130" width="11.42578125" style="1" customWidth="1"/>
    <col min="16131" max="16133" width="12.7109375" style="1" customWidth="1"/>
    <col min="16134" max="16137" width="18.7109375" style="1" customWidth="1"/>
    <col min="16138" max="16140" width="12.7109375" style="1" customWidth="1"/>
    <col min="16141" max="16384" width="11.42578125" style="1" customWidth="1"/>
  </cols>
  <sheetData>
    <row r="1" spans="6:9" ht="23.25" customHeight="1">
      <c r="F1" s="2"/>
      <c r="G1" s="2"/>
      <c r="H1" s="2"/>
      <c r="I1" s="2"/>
    </row>
    <row r="2" spans="6:9" ht="23.25" customHeight="1">
      <c r="F2" s="3"/>
      <c r="G2" s="3"/>
      <c r="H2" s="3"/>
      <c r="I2" s="3"/>
    </row>
    <row r="3" spans="6:9" ht="23.25" customHeight="1">
      <c r="F3" s="2"/>
      <c r="G3" s="2"/>
      <c r="H3" s="2"/>
      <c r="I3" s="2"/>
    </row>
    <row r="4" spans="6:9" ht="25.5" customHeight="1">
      <c r="F4" s="485" t="s">
        <v>0</v>
      </c>
      <c r="G4" s="486"/>
      <c r="H4" s="486"/>
      <c r="I4" s="487"/>
    </row>
    <row r="6" spans="6:9" ht="23.25" customHeight="1">
      <c r="F6" s="2"/>
      <c r="G6" s="2"/>
      <c r="H6" s="2"/>
      <c r="I6" s="2"/>
    </row>
    <row r="7" spans="6:9" ht="25.5" customHeight="1">
      <c r="F7" s="485" t="s">
        <v>1</v>
      </c>
      <c r="G7" s="486"/>
      <c r="H7" s="486"/>
      <c r="I7" s="487"/>
    </row>
    <row r="8" spans="6:9" ht="23.25" customHeight="1">
      <c r="F8" s="2"/>
      <c r="G8" s="2"/>
      <c r="H8" s="2"/>
      <c r="I8" s="2"/>
    </row>
    <row r="9" spans="6:9" ht="23.25" customHeight="1">
      <c r="F9" s="2"/>
      <c r="G9" s="2"/>
      <c r="H9" s="2"/>
      <c r="I9" s="2"/>
    </row>
    <row r="10" spans="6:9" ht="25.5" customHeight="1">
      <c r="F10" s="485" t="s">
        <v>3</v>
      </c>
      <c r="G10" s="486"/>
      <c r="H10" s="486"/>
      <c r="I10" s="487"/>
    </row>
    <row r="11" spans="6:9" ht="23.25" customHeight="1">
      <c r="F11" s="2"/>
      <c r="G11" s="2"/>
      <c r="H11" s="2"/>
      <c r="I11" s="2"/>
    </row>
    <row r="13" spans="6:9" ht="25.5" customHeight="1">
      <c r="F13" s="485" t="s">
        <v>6</v>
      </c>
      <c r="G13" s="486"/>
      <c r="H13" s="486"/>
      <c r="I13" s="487"/>
    </row>
    <row r="14" spans="6:9" ht="23.25" customHeight="1">
      <c r="F14" s="2"/>
      <c r="G14" s="2"/>
      <c r="H14" s="2"/>
      <c r="I14" s="2"/>
    </row>
    <row r="15" spans="6:9" ht="23.25" customHeight="1">
      <c r="F15" s="2"/>
      <c r="G15" s="2"/>
      <c r="H15" s="2"/>
      <c r="I15" s="2"/>
    </row>
    <row r="16" spans="6:9" ht="25.5" customHeight="1">
      <c r="F16" s="485" t="s">
        <v>5</v>
      </c>
      <c r="G16" s="486"/>
      <c r="H16" s="486"/>
      <c r="I16" s="487"/>
    </row>
    <row r="17" spans="1:9" ht="23.25" customHeight="1">
      <c r="F17" s="2"/>
      <c r="G17" s="2"/>
      <c r="H17" s="2"/>
      <c r="I17" s="2"/>
    </row>
    <row r="18" spans="1:9" ht="23.25" customHeight="1">
      <c r="F18" s="2"/>
      <c r="G18" s="2"/>
      <c r="H18" s="2"/>
      <c r="I18" s="2"/>
    </row>
    <row r="19" spans="1:9" ht="25.5" customHeight="1">
      <c r="F19" s="485" t="s">
        <v>4</v>
      </c>
      <c r="G19" s="486"/>
      <c r="H19" s="486"/>
      <c r="I19" s="487"/>
    </row>
    <row r="20" spans="1:9" ht="23.25" customHeight="1">
      <c r="F20" s="2"/>
      <c r="G20" s="2"/>
      <c r="H20" s="2"/>
      <c r="I20" s="2"/>
    </row>
    <row r="21" spans="1:9" ht="23.25" customHeight="1">
      <c r="F21" s="2"/>
      <c r="G21" s="2"/>
      <c r="H21" s="2"/>
      <c r="I21" s="2"/>
    </row>
    <row r="22" spans="1:9" ht="25.5" customHeight="1">
      <c r="F22" s="485" t="s">
        <v>601</v>
      </c>
      <c r="G22" s="486"/>
      <c r="H22" s="486"/>
      <c r="I22" s="487"/>
    </row>
    <row r="23" spans="1:9" ht="23.25" customHeight="1">
      <c r="F23" s="488"/>
      <c r="G23" s="489"/>
      <c r="H23" s="489"/>
      <c r="I23" s="489"/>
    </row>
    <row r="25" spans="1:9">
      <c r="A25" s="248"/>
      <c r="F25" s="485" t="s">
        <v>2</v>
      </c>
      <c r="G25" s="486"/>
      <c r="H25" s="486"/>
      <c r="I25" s="487"/>
    </row>
    <row r="26" spans="1:9">
      <c r="A26" s="248"/>
      <c r="B26"/>
    </row>
    <row r="27" spans="1:9">
      <c r="A27" s="248"/>
      <c r="B27"/>
    </row>
    <row r="28" spans="1:9">
      <c r="A28" s="248"/>
      <c r="B28"/>
    </row>
    <row r="29" spans="1:9">
      <c r="A29" s="248"/>
      <c r="B29"/>
    </row>
    <row r="30" spans="1:9">
      <c r="A30" s="248"/>
      <c r="B30"/>
    </row>
    <row r="31" spans="1:9">
      <c r="A31" s="248"/>
      <c r="B31"/>
    </row>
    <row r="32" spans="1:9">
      <c r="A32" s="248"/>
      <c r="B32"/>
    </row>
  </sheetData>
  <mergeCells count="9">
    <mergeCell ref="F10:I10"/>
    <mergeCell ref="F23:I23"/>
    <mergeCell ref="F7:I7"/>
    <mergeCell ref="F4:I4"/>
    <mergeCell ref="F19:I19"/>
    <mergeCell ref="F13:I13"/>
    <mergeCell ref="F25:I25"/>
    <mergeCell ref="F16:I16"/>
    <mergeCell ref="F22:I22"/>
  </mergeCells>
  <hyperlinks>
    <hyperlink ref="F4" location="RESULTADOS!A1" display="RESULTADOS"/>
    <hyperlink ref="F7" location="'PARAMETROS DEL PROYECTO'!A1" display="PARAMETROS DEL PROYECTO"/>
    <hyperlink ref="F25" location="'Punto de Equilibrio'!A1" display="PUNTO DE EQUILIBRIO"/>
    <hyperlink ref="F10" location="'PRESUPUESTO GENERAL'!A1" display="PRESUPUESTO GENERAL"/>
    <hyperlink ref="F19" location="'FLUJO DE CAJA'!A1" display="FLUJO DE CAJA"/>
    <hyperlink ref="F16" location="'FLUJO DE INGRESOS'!A1" display="FLUJO DE INGRESOS"/>
    <hyperlink ref="F13" location="'CRONOGRAMA VALORADO'!A1" display="CRONOGRAMA VALORADO"/>
    <hyperlink ref="F22:I22" location="'MATRIZ VAN TIR'!A1" display="VAN y TIR"/>
    <hyperlink ref="F25:I25" location="'MATRIZ PUNTO EQUILIBRIO'!A1" display="PUNTO DE EQUILIBRIO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58ED5"/>
  </sheetPr>
  <dimension ref="A1:K54"/>
  <sheetViews>
    <sheetView showZeros="0" zoomScale="110" zoomScaleNormal="110" workbookViewId="0"/>
  </sheetViews>
  <sheetFormatPr baseColWidth="10" defaultColWidth="11.42578125" defaultRowHeight="12.75" customHeight="1" outlineLevelRow="1"/>
  <cols>
    <col min="1" max="1" width="42.7109375" style="4" customWidth="1"/>
    <col min="2" max="2" width="18.7109375" style="4" customWidth="1"/>
    <col min="3" max="3" width="22.85546875" style="4" customWidth="1"/>
    <col min="4" max="4" width="19" style="4" customWidth="1"/>
    <col min="5" max="5" width="18.7109375" style="4" customWidth="1"/>
    <col min="6" max="6" width="40.5703125" style="4" customWidth="1"/>
    <col min="7" max="9" width="20" style="4" customWidth="1"/>
    <col min="10" max="10" width="12.140625" style="4" customWidth="1"/>
    <col min="11" max="251" width="20" style="4" customWidth="1"/>
    <col min="252" max="252" width="42.7109375" style="4" customWidth="1"/>
    <col min="253" max="253" width="18.7109375" style="4" customWidth="1"/>
    <col min="254" max="254" width="22.85546875" style="4" customWidth="1"/>
    <col min="255" max="255" width="19" style="4" customWidth="1"/>
    <col min="256" max="258" width="18.7109375" style="4" customWidth="1"/>
    <col min="259" max="259" width="9.85546875" style="4" customWidth="1"/>
    <col min="260" max="507" width="11.42578125" style="4" customWidth="1"/>
    <col min="508" max="508" width="42.7109375" style="4" customWidth="1"/>
    <col min="509" max="509" width="18.7109375" style="4" customWidth="1"/>
    <col min="510" max="510" width="22.85546875" style="4" customWidth="1"/>
    <col min="511" max="511" width="19" style="4" customWidth="1"/>
    <col min="512" max="514" width="18.7109375" style="4" customWidth="1"/>
    <col min="515" max="515" width="9.85546875" style="4" customWidth="1"/>
    <col min="516" max="763" width="11.42578125" style="4" customWidth="1"/>
    <col min="764" max="764" width="42.7109375" style="4" customWidth="1"/>
    <col min="765" max="765" width="18.7109375" style="4" customWidth="1"/>
    <col min="766" max="766" width="22.85546875" style="4" customWidth="1"/>
    <col min="767" max="767" width="19" style="4" customWidth="1"/>
    <col min="768" max="770" width="18.7109375" style="4" customWidth="1"/>
    <col min="771" max="771" width="9.85546875" style="4" customWidth="1"/>
    <col min="772" max="1019" width="11.42578125" style="4" customWidth="1"/>
    <col min="1020" max="1020" width="42.7109375" style="4" customWidth="1"/>
    <col min="1021" max="1021" width="18.7109375" style="4" customWidth="1"/>
    <col min="1022" max="1022" width="22.85546875" style="4" customWidth="1"/>
    <col min="1023" max="1023" width="19" style="4" customWidth="1"/>
    <col min="1024" max="1026" width="18.7109375" style="4" customWidth="1"/>
    <col min="1027" max="1027" width="9.85546875" style="4" customWidth="1"/>
    <col min="1028" max="1275" width="11.42578125" style="4" customWidth="1"/>
    <col min="1276" max="1276" width="42.7109375" style="4" customWidth="1"/>
    <col min="1277" max="1277" width="18.7109375" style="4" customWidth="1"/>
    <col min="1278" max="1278" width="22.85546875" style="4" customWidth="1"/>
    <col min="1279" max="1279" width="19" style="4" customWidth="1"/>
    <col min="1280" max="1282" width="18.7109375" style="4" customWidth="1"/>
    <col min="1283" max="1283" width="9.85546875" style="4" customWidth="1"/>
    <col min="1284" max="1531" width="11.42578125" style="4" customWidth="1"/>
    <col min="1532" max="1532" width="42.7109375" style="4" customWidth="1"/>
    <col min="1533" max="1533" width="18.7109375" style="4" customWidth="1"/>
    <col min="1534" max="1534" width="22.85546875" style="4" customWidth="1"/>
    <col min="1535" max="1535" width="19" style="4" customWidth="1"/>
    <col min="1536" max="1538" width="18.7109375" style="4" customWidth="1"/>
    <col min="1539" max="1539" width="9.85546875" style="4" customWidth="1"/>
    <col min="1540" max="1787" width="11.42578125" style="4" customWidth="1"/>
    <col min="1788" max="1788" width="42.7109375" style="4" customWidth="1"/>
    <col min="1789" max="1789" width="18.7109375" style="4" customWidth="1"/>
    <col min="1790" max="1790" width="22.85546875" style="4" customWidth="1"/>
    <col min="1791" max="1791" width="19" style="4" customWidth="1"/>
    <col min="1792" max="1794" width="18.7109375" style="4" customWidth="1"/>
    <col min="1795" max="1795" width="9.85546875" style="4" customWidth="1"/>
    <col min="1796" max="2043" width="11.42578125" style="4" customWidth="1"/>
    <col min="2044" max="2044" width="42.7109375" style="4" customWidth="1"/>
    <col min="2045" max="2045" width="18.7109375" style="4" customWidth="1"/>
    <col min="2046" max="2046" width="22.85546875" style="4" customWidth="1"/>
    <col min="2047" max="2047" width="19" style="4" customWidth="1"/>
    <col min="2048" max="2050" width="18.7109375" style="4" customWidth="1"/>
    <col min="2051" max="2051" width="9.85546875" style="4" customWidth="1"/>
    <col min="2052" max="2299" width="11.42578125" style="4" customWidth="1"/>
    <col min="2300" max="2300" width="42.7109375" style="4" customWidth="1"/>
    <col min="2301" max="2301" width="18.7109375" style="4" customWidth="1"/>
    <col min="2302" max="2302" width="22.85546875" style="4" customWidth="1"/>
    <col min="2303" max="2303" width="19" style="4" customWidth="1"/>
    <col min="2304" max="2306" width="18.7109375" style="4" customWidth="1"/>
    <col min="2307" max="2307" width="9.85546875" style="4" customWidth="1"/>
    <col min="2308" max="2555" width="11.42578125" style="4" customWidth="1"/>
    <col min="2556" max="2556" width="42.7109375" style="4" customWidth="1"/>
    <col min="2557" max="2557" width="18.7109375" style="4" customWidth="1"/>
    <col min="2558" max="2558" width="22.85546875" style="4" customWidth="1"/>
    <col min="2559" max="2559" width="19" style="4" customWidth="1"/>
    <col min="2560" max="2562" width="18.7109375" style="4" customWidth="1"/>
    <col min="2563" max="2563" width="9.85546875" style="4" customWidth="1"/>
    <col min="2564" max="2811" width="11.42578125" style="4" customWidth="1"/>
    <col min="2812" max="2812" width="42.7109375" style="4" customWidth="1"/>
    <col min="2813" max="2813" width="18.7109375" style="4" customWidth="1"/>
    <col min="2814" max="2814" width="22.85546875" style="4" customWidth="1"/>
    <col min="2815" max="2815" width="19" style="4" customWidth="1"/>
    <col min="2816" max="2818" width="18.7109375" style="4" customWidth="1"/>
    <col min="2819" max="2819" width="9.85546875" style="4" customWidth="1"/>
    <col min="2820" max="3067" width="11.42578125" style="4" customWidth="1"/>
    <col min="3068" max="3068" width="42.7109375" style="4" customWidth="1"/>
    <col min="3069" max="3069" width="18.7109375" style="4" customWidth="1"/>
    <col min="3070" max="3070" width="22.85546875" style="4" customWidth="1"/>
    <col min="3071" max="3071" width="19" style="4" customWidth="1"/>
    <col min="3072" max="3074" width="18.7109375" style="4" customWidth="1"/>
    <col min="3075" max="3075" width="9.85546875" style="4" customWidth="1"/>
    <col min="3076" max="3323" width="11.42578125" style="4" customWidth="1"/>
    <col min="3324" max="3324" width="42.7109375" style="4" customWidth="1"/>
    <col min="3325" max="3325" width="18.7109375" style="4" customWidth="1"/>
    <col min="3326" max="3326" width="22.85546875" style="4" customWidth="1"/>
    <col min="3327" max="3327" width="19" style="4" customWidth="1"/>
    <col min="3328" max="3330" width="18.7109375" style="4" customWidth="1"/>
    <col min="3331" max="3331" width="9.85546875" style="4" customWidth="1"/>
    <col min="3332" max="3579" width="11.42578125" style="4" customWidth="1"/>
    <col min="3580" max="3580" width="42.7109375" style="4" customWidth="1"/>
    <col min="3581" max="3581" width="18.7109375" style="4" customWidth="1"/>
    <col min="3582" max="3582" width="22.85546875" style="4" customWidth="1"/>
    <col min="3583" max="3583" width="19" style="4" customWidth="1"/>
    <col min="3584" max="3586" width="18.7109375" style="4" customWidth="1"/>
    <col min="3587" max="3587" width="9.85546875" style="4" customWidth="1"/>
    <col min="3588" max="3835" width="11.42578125" style="4" customWidth="1"/>
    <col min="3836" max="3836" width="42.7109375" style="4" customWidth="1"/>
    <col min="3837" max="3837" width="18.7109375" style="4" customWidth="1"/>
    <col min="3838" max="3838" width="22.85546875" style="4" customWidth="1"/>
    <col min="3839" max="3839" width="19" style="4" customWidth="1"/>
    <col min="3840" max="3842" width="18.7109375" style="4" customWidth="1"/>
    <col min="3843" max="3843" width="9.85546875" style="4" customWidth="1"/>
    <col min="3844" max="4091" width="11.42578125" style="4" customWidth="1"/>
    <col min="4092" max="4092" width="42.7109375" style="4" customWidth="1"/>
    <col min="4093" max="4093" width="18.7109375" style="4" customWidth="1"/>
    <col min="4094" max="4094" width="22.85546875" style="4" customWidth="1"/>
    <col min="4095" max="4095" width="19" style="4" customWidth="1"/>
    <col min="4096" max="4098" width="18.7109375" style="4" customWidth="1"/>
    <col min="4099" max="4099" width="9.85546875" style="4" customWidth="1"/>
    <col min="4100" max="4347" width="11.42578125" style="4" customWidth="1"/>
    <col min="4348" max="4348" width="42.7109375" style="4" customWidth="1"/>
    <col min="4349" max="4349" width="18.7109375" style="4" customWidth="1"/>
    <col min="4350" max="4350" width="22.85546875" style="4" customWidth="1"/>
    <col min="4351" max="4351" width="19" style="4" customWidth="1"/>
    <col min="4352" max="4354" width="18.7109375" style="4" customWidth="1"/>
    <col min="4355" max="4355" width="9.85546875" style="4" customWidth="1"/>
    <col min="4356" max="4603" width="11.42578125" style="4" customWidth="1"/>
    <col min="4604" max="4604" width="42.7109375" style="4" customWidth="1"/>
    <col min="4605" max="4605" width="18.7109375" style="4" customWidth="1"/>
    <col min="4606" max="4606" width="22.85546875" style="4" customWidth="1"/>
    <col min="4607" max="4607" width="19" style="4" customWidth="1"/>
    <col min="4608" max="4610" width="18.7109375" style="4" customWidth="1"/>
    <col min="4611" max="4611" width="9.85546875" style="4" customWidth="1"/>
    <col min="4612" max="4859" width="11.42578125" style="4" customWidth="1"/>
    <col min="4860" max="4860" width="42.7109375" style="4" customWidth="1"/>
    <col min="4861" max="4861" width="18.7109375" style="4" customWidth="1"/>
    <col min="4862" max="4862" width="22.85546875" style="4" customWidth="1"/>
    <col min="4863" max="4863" width="19" style="4" customWidth="1"/>
    <col min="4864" max="4866" width="18.7109375" style="4" customWidth="1"/>
    <col min="4867" max="4867" width="9.85546875" style="4" customWidth="1"/>
    <col min="4868" max="5115" width="11.42578125" style="4" customWidth="1"/>
    <col min="5116" max="5116" width="42.7109375" style="4" customWidth="1"/>
    <col min="5117" max="5117" width="18.7109375" style="4" customWidth="1"/>
    <col min="5118" max="5118" width="22.85546875" style="4" customWidth="1"/>
    <col min="5119" max="5119" width="19" style="4" customWidth="1"/>
    <col min="5120" max="5122" width="18.7109375" style="4" customWidth="1"/>
    <col min="5123" max="5123" width="9.85546875" style="4" customWidth="1"/>
    <col min="5124" max="5371" width="11.42578125" style="4" customWidth="1"/>
    <col min="5372" max="5372" width="42.7109375" style="4" customWidth="1"/>
    <col min="5373" max="5373" width="18.7109375" style="4" customWidth="1"/>
    <col min="5374" max="5374" width="22.85546875" style="4" customWidth="1"/>
    <col min="5375" max="5375" width="19" style="4" customWidth="1"/>
    <col min="5376" max="5378" width="18.7109375" style="4" customWidth="1"/>
    <col min="5379" max="5379" width="9.85546875" style="4" customWidth="1"/>
    <col min="5380" max="5627" width="11.42578125" style="4" customWidth="1"/>
    <col min="5628" max="5628" width="42.7109375" style="4" customWidth="1"/>
    <col min="5629" max="5629" width="18.7109375" style="4" customWidth="1"/>
    <col min="5630" max="5630" width="22.85546875" style="4" customWidth="1"/>
    <col min="5631" max="5631" width="19" style="4" customWidth="1"/>
    <col min="5632" max="5634" width="18.7109375" style="4" customWidth="1"/>
    <col min="5635" max="5635" width="9.85546875" style="4" customWidth="1"/>
    <col min="5636" max="5883" width="11.42578125" style="4" customWidth="1"/>
    <col min="5884" max="5884" width="42.7109375" style="4" customWidth="1"/>
    <col min="5885" max="5885" width="18.7109375" style="4" customWidth="1"/>
    <col min="5886" max="5886" width="22.85546875" style="4" customWidth="1"/>
    <col min="5887" max="5887" width="19" style="4" customWidth="1"/>
    <col min="5888" max="5890" width="18.7109375" style="4" customWidth="1"/>
    <col min="5891" max="5891" width="9.85546875" style="4" customWidth="1"/>
    <col min="5892" max="6139" width="11.42578125" style="4" customWidth="1"/>
    <col min="6140" max="6140" width="42.7109375" style="4" customWidth="1"/>
    <col min="6141" max="6141" width="18.7109375" style="4" customWidth="1"/>
    <col min="6142" max="6142" width="22.85546875" style="4" customWidth="1"/>
    <col min="6143" max="6143" width="19" style="4" customWidth="1"/>
    <col min="6144" max="6146" width="18.7109375" style="4" customWidth="1"/>
    <col min="6147" max="6147" width="9.85546875" style="4" customWidth="1"/>
    <col min="6148" max="6395" width="11.42578125" style="4" customWidth="1"/>
    <col min="6396" max="6396" width="42.7109375" style="4" customWidth="1"/>
    <col min="6397" max="6397" width="18.7109375" style="4" customWidth="1"/>
    <col min="6398" max="6398" width="22.85546875" style="4" customWidth="1"/>
    <col min="6399" max="6399" width="19" style="4" customWidth="1"/>
    <col min="6400" max="6402" width="18.7109375" style="4" customWidth="1"/>
    <col min="6403" max="6403" width="9.85546875" style="4" customWidth="1"/>
    <col min="6404" max="6651" width="11.42578125" style="4" customWidth="1"/>
    <col min="6652" max="6652" width="42.7109375" style="4" customWidth="1"/>
    <col min="6653" max="6653" width="18.7109375" style="4" customWidth="1"/>
    <col min="6654" max="6654" width="22.85546875" style="4" customWidth="1"/>
    <col min="6655" max="6655" width="19" style="4" customWidth="1"/>
    <col min="6656" max="6658" width="18.7109375" style="4" customWidth="1"/>
    <col min="6659" max="6659" width="9.85546875" style="4" customWidth="1"/>
    <col min="6660" max="6907" width="11.42578125" style="4" customWidth="1"/>
    <col min="6908" max="6908" width="42.7109375" style="4" customWidth="1"/>
    <col min="6909" max="6909" width="18.7109375" style="4" customWidth="1"/>
    <col min="6910" max="6910" width="22.85546875" style="4" customWidth="1"/>
    <col min="6911" max="6911" width="19" style="4" customWidth="1"/>
    <col min="6912" max="6914" width="18.7109375" style="4" customWidth="1"/>
    <col min="6915" max="6915" width="9.85546875" style="4" customWidth="1"/>
    <col min="6916" max="7163" width="11.42578125" style="4" customWidth="1"/>
    <col min="7164" max="7164" width="42.7109375" style="4" customWidth="1"/>
    <col min="7165" max="7165" width="18.7109375" style="4" customWidth="1"/>
    <col min="7166" max="7166" width="22.85546875" style="4" customWidth="1"/>
    <col min="7167" max="7167" width="19" style="4" customWidth="1"/>
    <col min="7168" max="7170" width="18.7109375" style="4" customWidth="1"/>
    <col min="7171" max="7171" width="9.85546875" style="4" customWidth="1"/>
    <col min="7172" max="7419" width="11.42578125" style="4" customWidth="1"/>
    <col min="7420" max="7420" width="42.7109375" style="4" customWidth="1"/>
    <col min="7421" max="7421" width="18.7109375" style="4" customWidth="1"/>
    <col min="7422" max="7422" width="22.85546875" style="4" customWidth="1"/>
    <col min="7423" max="7423" width="19" style="4" customWidth="1"/>
    <col min="7424" max="7426" width="18.7109375" style="4" customWidth="1"/>
    <col min="7427" max="7427" width="9.85546875" style="4" customWidth="1"/>
    <col min="7428" max="7675" width="11.42578125" style="4" customWidth="1"/>
    <col min="7676" max="7676" width="42.7109375" style="4" customWidth="1"/>
    <col min="7677" max="7677" width="18.7109375" style="4" customWidth="1"/>
    <col min="7678" max="7678" width="22.85546875" style="4" customWidth="1"/>
    <col min="7679" max="7679" width="19" style="4" customWidth="1"/>
    <col min="7680" max="7682" width="18.7109375" style="4" customWidth="1"/>
    <col min="7683" max="7683" width="9.85546875" style="4" customWidth="1"/>
    <col min="7684" max="7931" width="11.42578125" style="4" customWidth="1"/>
    <col min="7932" max="7932" width="42.7109375" style="4" customWidth="1"/>
    <col min="7933" max="7933" width="18.7109375" style="4" customWidth="1"/>
    <col min="7934" max="7934" width="22.85546875" style="4" customWidth="1"/>
    <col min="7935" max="7935" width="19" style="4" customWidth="1"/>
    <col min="7936" max="7938" width="18.7109375" style="4" customWidth="1"/>
    <col min="7939" max="7939" width="9.85546875" style="4" customWidth="1"/>
    <col min="7940" max="8187" width="11.42578125" style="4" customWidth="1"/>
    <col min="8188" max="8188" width="42.7109375" style="4" customWidth="1"/>
    <col min="8189" max="8189" width="18.7109375" style="4" customWidth="1"/>
    <col min="8190" max="8190" width="22.85546875" style="4" customWidth="1"/>
    <col min="8191" max="8191" width="19" style="4" customWidth="1"/>
    <col min="8192" max="8194" width="18.7109375" style="4" customWidth="1"/>
    <col min="8195" max="8195" width="9.85546875" style="4" customWidth="1"/>
    <col min="8196" max="8443" width="11.42578125" style="4" customWidth="1"/>
    <col min="8444" max="8444" width="42.7109375" style="4" customWidth="1"/>
    <col min="8445" max="8445" width="18.7109375" style="4" customWidth="1"/>
    <col min="8446" max="8446" width="22.85546875" style="4" customWidth="1"/>
    <col min="8447" max="8447" width="19" style="4" customWidth="1"/>
    <col min="8448" max="8450" width="18.7109375" style="4" customWidth="1"/>
    <col min="8451" max="8451" width="9.85546875" style="4" customWidth="1"/>
    <col min="8452" max="8699" width="11.42578125" style="4" customWidth="1"/>
    <col min="8700" max="8700" width="42.7109375" style="4" customWidth="1"/>
    <col min="8701" max="8701" width="18.7109375" style="4" customWidth="1"/>
    <col min="8702" max="8702" width="22.85546875" style="4" customWidth="1"/>
    <col min="8703" max="8703" width="19" style="4" customWidth="1"/>
    <col min="8704" max="8706" width="18.7109375" style="4" customWidth="1"/>
    <col min="8707" max="8707" width="9.85546875" style="4" customWidth="1"/>
    <col min="8708" max="8955" width="11.42578125" style="4" customWidth="1"/>
    <col min="8956" max="8956" width="42.7109375" style="4" customWidth="1"/>
    <col min="8957" max="8957" width="18.7109375" style="4" customWidth="1"/>
    <col min="8958" max="8958" width="22.85546875" style="4" customWidth="1"/>
    <col min="8959" max="8959" width="19" style="4" customWidth="1"/>
    <col min="8960" max="8962" width="18.7109375" style="4" customWidth="1"/>
    <col min="8963" max="8963" width="9.85546875" style="4" customWidth="1"/>
    <col min="8964" max="9211" width="11.42578125" style="4" customWidth="1"/>
    <col min="9212" max="9212" width="42.7109375" style="4" customWidth="1"/>
    <col min="9213" max="9213" width="18.7109375" style="4" customWidth="1"/>
    <col min="9214" max="9214" width="22.85546875" style="4" customWidth="1"/>
    <col min="9215" max="9215" width="19" style="4" customWidth="1"/>
    <col min="9216" max="9218" width="18.7109375" style="4" customWidth="1"/>
    <col min="9219" max="9219" width="9.85546875" style="4" customWidth="1"/>
    <col min="9220" max="9467" width="11.42578125" style="4" customWidth="1"/>
    <col min="9468" max="9468" width="42.7109375" style="4" customWidth="1"/>
    <col min="9469" max="9469" width="18.7109375" style="4" customWidth="1"/>
    <col min="9470" max="9470" width="22.85546875" style="4" customWidth="1"/>
    <col min="9471" max="9471" width="19" style="4" customWidth="1"/>
    <col min="9472" max="9474" width="18.7109375" style="4" customWidth="1"/>
    <col min="9475" max="9475" width="9.85546875" style="4" customWidth="1"/>
    <col min="9476" max="9723" width="11.42578125" style="4" customWidth="1"/>
    <col min="9724" max="9724" width="42.7109375" style="4" customWidth="1"/>
    <col min="9725" max="9725" width="18.7109375" style="4" customWidth="1"/>
    <col min="9726" max="9726" width="22.85546875" style="4" customWidth="1"/>
    <col min="9727" max="9727" width="19" style="4" customWidth="1"/>
    <col min="9728" max="9730" width="18.7109375" style="4" customWidth="1"/>
    <col min="9731" max="9731" width="9.85546875" style="4" customWidth="1"/>
    <col min="9732" max="9979" width="11.42578125" style="4" customWidth="1"/>
    <col min="9980" max="9980" width="42.7109375" style="4" customWidth="1"/>
    <col min="9981" max="9981" width="18.7109375" style="4" customWidth="1"/>
    <col min="9982" max="9982" width="22.85546875" style="4" customWidth="1"/>
    <col min="9983" max="9983" width="19" style="4" customWidth="1"/>
    <col min="9984" max="9986" width="18.7109375" style="4" customWidth="1"/>
    <col min="9987" max="9987" width="9.85546875" style="4" customWidth="1"/>
    <col min="9988" max="10235" width="11.42578125" style="4" customWidth="1"/>
    <col min="10236" max="10236" width="42.7109375" style="4" customWidth="1"/>
    <col min="10237" max="10237" width="18.7109375" style="4" customWidth="1"/>
    <col min="10238" max="10238" width="22.85546875" style="4" customWidth="1"/>
    <col min="10239" max="10239" width="19" style="4" customWidth="1"/>
    <col min="10240" max="10242" width="18.7109375" style="4" customWidth="1"/>
    <col min="10243" max="10243" width="9.85546875" style="4" customWidth="1"/>
    <col min="10244" max="10491" width="11.42578125" style="4" customWidth="1"/>
    <col min="10492" max="10492" width="42.7109375" style="4" customWidth="1"/>
    <col min="10493" max="10493" width="18.7109375" style="4" customWidth="1"/>
    <col min="10494" max="10494" width="22.85546875" style="4" customWidth="1"/>
    <col min="10495" max="10495" width="19" style="4" customWidth="1"/>
    <col min="10496" max="10498" width="18.7109375" style="4" customWidth="1"/>
    <col min="10499" max="10499" width="9.85546875" style="4" customWidth="1"/>
    <col min="10500" max="10747" width="11.42578125" style="4" customWidth="1"/>
    <col min="10748" max="10748" width="42.7109375" style="4" customWidth="1"/>
    <col min="10749" max="10749" width="18.7109375" style="4" customWidth="1"/>
    <col min="10750" max="10750" width="22.85546875" style="4" customWidth="1"/>
    <col min="10751" max="10751" width="19" style="4" customWidth="1"/>
    <col min="10752" max="10754" width="18.7109375" style="4" customWidth="1"/>
    <col min="10755" max="10755" width="9.85546875" style="4" customWidth="1"/>
    <col min="10756" max="11003" width="11.42578125" style="4" customWidth="1"/>
    <col min="11004" max="11004" width="42.7109375" style="4" customWidth="1"/>
    <col min="11005" max="11005" width="18.7109375" style="4" customWidth="1"/>
    <col min="11006" max="11006" width="22.85546875" style="4" customWidth="1"/>
    <col min="11007" max="11007" width="19" style="4" customWidth="1"/>
    <col min="11008" max="11010" width="18.7109375" style="4" customWidth="1"/>
    <col min="11011" max="11011" width="9.85546875" style="4" customWidth="1"/>
    <col min="11012" max="11259" width="11.42578125" style="4" customWidth="1"/>
    <col min="11260" max="11260" width="42.7109375" style="4" customWidth="1"/>
    <col min="11261" max="11261" width="18.7109375" style="4" customWidth="1"/>
    <col min="11262" max="11262" width="22.85546875" style="4" customWidth="1"/>
    <col min="11263" max="11263" width="19" style="4" customWidth="1"/>
    <col min="11264" max="11266" width="18.7109375" style="4" customWidth="1"/>
    <col min="11267" max="11267" width="9.85546875" style="4" customWidth="1"/>
    <col min="11268" max="11515" width="11.42578125" style="4" customWidth="1"/>
    <col min="11516" max="11516" width="42.7109375" style="4" customWidth="1"/>
    <col min="11517" max="11517" width="18.7109375" style="4" customWidth="1"/>
    <col min="11518" max="11518" width="22.85546875" style="4" customWidth="1"/>
    <col min="11519" max="11519" width="19" style="4" customWidth="1"/>
    <col min="11520" max="11522" width="18.7109375" style="4" customWidth="1"/>
    <col min="11523" max="11523" width="9.85546875" style="4" customWidth="1"/>
    <col min="11524" max="11771" width="11.42578125" style="4" customWidth="1"/>
    <col min="11772" max="11772" width="42.7109375" style="4" customWidth="1"/>
    <col min="11773" max="11773" width="18.7109375" style="4" customWidth="1"/>
    <col min="11774" max="11774" width="22.85546875" style="4" customWidth="1"/>
    <col min="11775" max="11775" width="19" style="4" customWidth="1"/>
    <col min="11776" max="11778" width="18.7109375" style="4" customWidth="1"/>
    <col min="11779" max="11779" width="9.85546875" style="4" customWidth="1"/>
    <col min="11780" max="12027" width="11.42578125" style="4" customWidth="1"/>
    <col min="12028" max="12028" width="42.7109375" style="4" customWidth="1"/>
    <col min="12029" max="12029" width="18.7109375" style="4" customWidth="1"/>
    <col min="12030" max="12030" width="22.85546875" style="4" customWidth="1"/>
    <col min="12031" max="12031" width="19" style="4" customWidth="1"/>
    <col min="12032" max="12034" width="18.7109375" style="4" customWidth="1"/>
    <col min="12035" max="12035" width="9.85546875" style="4" customWidth="1"/>
    <col min="12036" max="12283" width="11.42578125" style="4" customWidth="1"/>
    <col min="12284" max="12284" width="42.7109375" style="4" customWidth="1"/>
    <col min="12285" max="12285" width="18.7109375" style="4" customWidth="1"/>
    <col min="12286" max="12286" width="22.85546875" style="4" customWidth="1"/>
    <col min="12287" max="12287" width="19" style="4" customWidth="1"/>
    <col min="12288" max="12290" width="18.7109375" style="4" customWidth="1"/>
    <col min="12291" max="12291" width="9.85546875" style="4" customWidth="1"/>
    <col min="12292" max="12539" width="11.42578125" style="4" customWidth="1"/>
    <col min="12540" max="12540" width="42.7109375" style="4" customWidth="1"/>
    <col min="12541" max="12541" width="18.7109375" style="4" customWidth="1"/>
    <col min="12542" max="12542" width="22.85546875" style="4" customWidth="1"/>
    <col min="12543" max="12543" width="19" style="4" customWidth="1"/>
    <col min="12544" max="12546" width="18.7109375" style="4" customWidth="1"/>
    <col min="12547" max="12547" width="9.85546875" style="4" customWidth="1"/>
    <col min="12548" max="12795" width="11.42578125" style="4" customWidth="1"/>
    <col min="12796" max="12796" width="42.7109375" style="4" customWidth="1"/>
    <col min="12797" max="12797" width="18.7109375" style="4" customWidth="1"/>
    <col min="12798" max="12798" width="22.85546875" style="4" customWidth="1"/>
    <col min="12799" max="12799" width="19" style="4" customWidth="1"/>
    <col min="12800" max="12802" width="18.7109375" style="4" customWidth="1"/>
    <col min="12803" max="12803" width="9.85546875" style="4" customWidth="1"/>
    <col min="12804" max="13051" width="11.42578125" style="4" customWidth="1"/>
    <col min="13052" max="13052" width="42.7109375" style="4" customWidth="1"/>
    <col min="13053" max="13053" width="18.7109375" style="4" customWidth="1"/>
    <col min="13054" max="13054" width="22.85546875" style="4" customWidth="1"/>
    <col min="13055" max="13055" width="19" style="4" customWidth="1"/>
    <col min="13056" max="13058" width="18.7109375" style="4" customWidth="1"/>
    <col min="13059" max="13059" width="9.85546875" style="4" customWidth="1"/>
    <col min="13060" max="13307" width="11.42578125" style="4" customWidth="1"/>
    <col min="13308" max="13308" width="42.7109375" style="4" customWidth="1"/>
    <col min="13309" max="13309" width="18.7109375" style="4" customWidth="1"/>
    <col min="13310" max="13310" width="22.85546875" style="4" customWidth="1"/>
    <col min="13311" max="13311" width="19" style="4" customWidth="1"/>
    <col min="13312" max="13314" width="18.7109375" style="4" customWidth="1"/>
    <col min="13315" max="13315" width="9.85546875" style="4" customWidth="1"/>
    <col min="13316" max="13563" width="11.42578125" style="4" customWidth="1"/>
    <col min="13564" max="13564" width="42.7109375" style="4" customWidth="1"/>
    <col min="13565" max="13565" width="18.7109375" style="4" customWidth="1"/>
    <col min="13566" max="13566" width="22.85546875" style="4" customWidth="1"/>
    <col min="13567" max="13567" width="19" style="4" customWidth="1"/>
    <col min="13568" max="13570" width="18.7109375" style="4" customWidth="1"/>
    <col min="13571" max="13571" width="9.85546875" style="4" customWidth="1"/>
    <col min="13572" max="13819" width="11.42578125" style="4" customWidth="1"/>
    <col min="13820" max="13820" width="42.7109375" style="4" customWidth="1"/>
    <col min="13821" max="13821" width="18.7109375" style="4" customWidth="1"/>
    <col min="13822" max="13822" width="22.85546875" style="4" customWidth="1"/>
    <col min="13823" max="13823" width="19" style="4" customWidth="1"/>
    <col min="13824" max="13826" width="18.7109375" style="4" customWidth="1"/>
    <col min="13827" max="13827" width="9.85546875" style="4" customWidth="1"/>
    <col min="13828" max="14075" width="11.42578125" style="4" customWidth="1"/>
    <col min="14076" max="14076" width="42.7109375" style="4" customWidth="1"/>
    <col min="14077" max="14077" width="18.7109375" style="4" customWidth="1"/>
    <col min="14078" max="14078" width="22.85546875" style="4" customWidth="1"/>
    <col min="14079" max="14079" width="19" style="4" customWidth="1"/>
    <col min="14080" max="14082" width="18.7109375" style="4" customWidth="1"/>
    <col min="14083" max="14083" width="9.85546875" style="4" customWidth="1"/>
    <col min="14084" max="14331" width="11.42578125" style="4" customWidth="1"/>
    <col min="14332" max="14332" width="42.7109375" style="4" customWidth="1"/>
    <col min="14333" max="14333" width="18.7109375" style="4" customWidth="1"/>
    <col min="14334" max="14334" width="22.85546875" style="4" customWidth="1"/>
    <col min="14335" max="14335" width="19" style="4" customWidth="1"/>
    <col min="14336" max="14338" width="18.7109375" style="4" customWidth="1"/>
    <col min="14339" max="14339" width="9.85546875" style="4" customWidth="1"/>
    <col min="14340" max="14587" width="11.42578125" style="4" customWidth="1"/>
    <col min="14588" max="14588" width="42.7109375" style="4" customWidth="1"/>
    <col min="14589" max="14589" width="18.7109375" style="4" customWidth="1"/>
    <col min="14590" max="14590" width="22.85546875" style="4" customWidth="1"/>
    <col min="14591" max="14591" width="19" style="4" customWidth="1"/>
    <col min="14592" max="14594" width="18.7109375" style="4" customWidth="1"/>
    <col min="14595" max="14595" width="9.85546875" style="4" customWidth="1"/>
    <col min="14596" max="14843" width="11.42578125" style="4" customWidth="1"/>
    <col min="14844" max="14844" width="42.7109375" style="4" customWidth="1"/>
    <col min="14845" max="14845" width="18.7109375" style="4" customWidth="1"/>
    <col min="14846" max="14846" width="22.85546875" style="4" customWidth="1"/>
    <col min="14847" max="14847" width="19" style="4" customWidth="1"/>
    <col min="14848" max="14850" width="18.7109375" style="4" customWidth="1"/>
    <col min="14851" max="14851" width="9.85546875" style="4" customWidth="1"/>
    <col min="14852" max="15099" width="11.42578125" style="4" customWidth="1"/>
    <col min="15100" max="15100" width="42.7109375" style="4" customWidth="1"/>
    <col min="15101" max="15101" width="18.7109375" style="4" customWidth="1"/>
    <col min="15102" max="15102" width="22.85546875" style="4" customWidth="1"/>
    <col min="15103" max="15103" width="19" style="4" customWidth="1"/>
    <col min="15104" max="15106" width="18.7109375" style="4" customWidth="1"/>
    <col min="15107" max="15107" width="9.85546875" style="4" customWidth="1"/>
    <col min="15108" max="15355" width="11.42578125" style="4" customWidth="1"/>
    <col min="15356" max="15356" width="42.7109375" style="4" customWidth="1"/>
    <col min="15357" max="15357" width="18.7109375" style="4" customWidth="1"/>
    <col min="15358" max="15358" width="22.85546875" style="4" customWidth="1"/>
    <col min="15359" max="15359" width="19" style="4" customWidth="1"/>
    <col min="15360" max="15362" width="18.7109375" style="4" customWidth="1"/>
    <col min="15363" max="15363" width="9.85546875" style="4" customWidth="1"/>
    <col min="15364" max="15611" width="11.42578125" style="4" customWidth="1"/>
    <col min="15612" max="15612" width="42.7109375" style="4" customWidth="1"/>
    <col min="15613" max="15613" width="18.7109375" style="4" customWidth="1"/>
    <col min="15614" max="15614" width="22.85546875" style="4" customWidth="1"/>
    <col min="15615" max="15615" width="19" style="4" customWidth="1"/>
    <col min="15616" max="15618" width="18.7109375" style="4" customWidth="1"/>
    <col min="15619" max="15619" width="9.85546875" style="4" customWidth="1"/>
    <col min="15620" max="15867" width="11.42578125" style="4" customWidth="1"/>
    <col min="15868" max="15868" width="42.7109375" style="4" customWidth="1"/>
    <col min="15869" max="15869" width="18.7109375" style="4" customWidth="1"/>
    <col min="15870" max="15870" width="22.85546875" style="4" customWidth="1"/>
    <col min="15871" max="15871" width="19" style="4" customWidth="1"/>
    <col min="15872" max="15874" width="18.7109375" style="4" customWidth="1"/>
    <col min="15875" max="15875" width="9.85546875" style="4" customWidth="1"/>
    <col min="15876" max="16123" width="11.42578125" style="4" customWidth="1"/>
    <col min="16124" max="16124" width="42.7109375" style="4" customWidth="1"/>
    <col min="16125" max="16125" width="18.7109375" style="4" customWidth="1"/>
    <col min="16126" max="16126" width="22.85546875" style="4" customWidth="1"/>
    <col min="16127" max="16127" width="19" style="4" customWidth="1"/>
    <col min="16128" max="16130" width="18.7109375" style="4" customWidth="1"/>
    <col min="16131" max="16131" width="9.85546875" style="4" customWidth="1"/>
    <col min="16132" max="16384" width="11.42578125" style="4" customWidth="1"/>
  </cols>
  <sheetData>
    <row r="1" spans="1:11" ht="15" customHeight="1"/>
    <row r="2" spans="1:11" ht="27.75" customHeight="1">
      <c r="A2" s="5" t="s">
        <v>7</v>
      </c>
      <c r="B2" s="490" t="s">
        <v>8</v>
      </c>
      <c r="C2" s="487"/>
    </row>
    <row r="3" spans="1:11" ht="15" customHeight="1">
      <c r="D3" s="480"/>
      <c r="H3" s="480"/>
    </row>
    <row r="4" spans="1:11" ht="15" customHeight="1">
      <c r="A4" s="5" t="s">
        <v>9</v>
      </c>
      <c r="B4" s="5" t="s">
        <v>10</v>
      </c>
      <c r="C4" s="451"/>
      <c r="E4" s="256"/>
      <c r="F4" s="451"/>
      <c r="G4" s="451"/>
    </row>
    <row r="5" spans="1:11" ht="15" customHeight="1">
      <c r="A5" s="5" t="s">
        <v>11</v>
      </c>
      <c r="B5" s="249">
        <f>+'PRESUPUESTO GENERAL'!I174</f>
        <v>7081052.5520000057</v>
      </c>
      <c r="D5" s="460"/>
      <c r="K5" s="451"/>
    </row>
    <row r="6" spans="1:11" ht="15" customHeight="1">
      <c r="A6" s="5" t="s">
        <v>12</v>
      </c>
      <c r="B6" s="249">
        <f>-(+'PRESUPUESTO GENERAL'!H54)</f>
        <v>-5422937.6215764889</v>
      </c>
      <c r="C6" s="451"/>
      <c r="D6" s="460"/>
      <c r="E6" s="450"/>
      <c r="F6" s="451"/>
      <c r="G6" s="450"/>
    </row>
    <row r="7" spans="1:11" ht="15" customHeight="1">
      <c r="A7" s="5" t="s">
        <v>13</v>
      </c>
      <c r="B7" s="250">
        <f>SUM(B5:B6)</f>
        <v>1658114.9304235168</v>
      </c>
      <c r="C7" s="451"/>
      <c r="E7" s="451"/>
      <c r="F7" s="451"/>
      <c r="G7" s="447"/>
      <c r="K7" s="457"/>
    </row>
    <row r="8" spans="1:11" ht="15" customHeight="1">
      <c r="A8" s="6"/>
      <c r="B8" s="6"/>
    </row>
    <row r="9" spans="1:11" ht="15" customHeight="1">
      <c r="A9" s="5" t="s">
        <v>14</v>
      </c>
      <c r="B9" s="7">
        <f>B7/-B6</f>
        <v>0.30575954328264804</v>
      </c>
      <c r="C9" s="8"/>
      <c r="K9" s="457"/>
    </row>
    <row r="10" spans="1:11" ht="25.5" customHeight="1">
      <c r="A10" s="448" t="s">
        <v>596</v>
      </c>
      <c r="B10" s="483">
        <f>+B7/B5</f>
        <v>0.23416221222015801</v>
      </c>
      <c r="C10" s="256"/>
      <c r="E10" s="256"/>
    </row>
    <row r="11" spans="1:11" ht="27.75" customHeight="1">
      <c r="A11" s="5" t="s">
        <v>15</v>
      </c>
    </row>
    <row r="12" spans="1:11" ht="15" customHeight="1">
      <c r="A12" s="5" t="s">
        <v>16</v>
      </c>
      <c r="B12" s="5" t="s">
        <v>10</v>
      </c>
      <c r="C12" s="5" t="s">
        <v>17</v>
      </c>
      <c r="D12" s="5" t="s">
        <v>17</v>
      </c>
    </row>
    <row r="13" spans="1:11" ht="15" customHeight="1">
      <c r="A13" s="5" t="s">
        <v>18</v>
      </c>
      <c r="B13" s="250">
        <f>SUM(B14:B15)</f>
        <v>1249442.5315</v>
      </c>
      <c r="C13" s="7">
        <f>SUM(C14:C15)</f>
        <v>0.6843628775066577</v>
      </c>
      <c r="D13" s="7">
        <f t="shared" ref="D13:D19" si="0">B13/-$B$6</f>
        <v>0.23039957651896753</v>
      </c>
      <c r="E13" s="9">
        <f>+C13</f>
        <v>0.6843628775066577</v>
      </c>
      <c r="F13" s="10" t="s">
        <v>19</v>
      </c>
      <c r="G13" s="256"/>
      <c r="I13" s="256"/>
    </row>
    <row r="14" spans="1:11" ht="12.75" customHeight="1" outlineLevel="1">
      <c r="A14" s="5" t="s">
        <v>20</v>
      </c>
      <c r="B14" s="251"/>
      <c r="C14" s="11">
        <f>+B14/$B$20</f>
        <v>0</v>
      </c>
      <c r="D14" s="7">
        <f t="shared" si="0"/>
        <v>0</v>
      </c>
      <c r="F14" s="12"/>
    </row>
    <row r="15" spans="1:11" ht="15" customHeight="1" outlineLevel="1">
      <c r="A15" s="5" t="s">
        <v>21</v>
      </c>
      <c r="B15" s="251">
        <f>('PRESUPUESTO GENERAL'!G19)*38.6%</f>
        <v>1249442.5315</v>
      </c>
      <c r="C15" s="11">
        <f>+B15/$B$20</f>
        <v>0.6843628775066577</v>
      </c>
      <c r="D15" s="7">
        <f t="shared" si="0"/>
        <v>0.23039957651896753</v>
      </c>
      <c r="F15" s="12"/>
    </row>
    <row r="16" spans="1:11" ht="15" customHeight="1">
      <c r="A16" s="5" t="s">
        <v>22</v>
      </c>
      <c r="B16" s="250">
        <f>SUM(B17:B19)</f>
        <v>576259.26</v>
      </c>
      <c r="C16" s="7">
        <f>SUM(C17:C19)</f>
        <v>0.3156371224933423</v>
      </c>
      <c r="D16" s="7">
        <f>B16/-$B$6</f>
        <v>0.10626330233031098</v>
      </c>
      <c r="E16" s="252"/>
      <c r="F16" s="253"/>
    </row>
    <row r="17" spans="1:6" ht="15" customHeight="1" outlineLevel="1">
      <c r="A17" s="5" t="s">
        <v>23</v>
      </c>
      <c r="B17" s="251">
        <f>+'PRESUPUESTO GENERAL'!H23</f>
        <v>117910.85</v>
      </c>
      <c r="C17" s="11">
        <f>+B17/$B$20</f>
        <v>6.4583849645633656E-2</v>
      </c>
      <c r="D17" s="7">
        <f t="shared" si="0"/>
        <v>2.1742984748867981E-2</v>
      </c>
      <c r="E17" s="9">
        <f>+C17+C19+C18</f>
        <v>0.3156371224933423</v>
      </c>
      <c r="F17" s="12" t="s">
        <v>24</v>
      </c>
    </row>
    <row r="18" spans="1:6" ht="15" customHeight="1" outlineLevel="1">
      <c r="A18" s="5" t="s">
        <v>25</v>
      </c>
      <c r="B18" s="254">
        <f>+'PRESUPUESTO GENERAL'!H6</f>
        <v>458348.41</v>
      </c>
      <c r="C18" s="11">
        <f>+B18/$B$20</f>
        <v>0.25105327284770862</v>
      </c>
      <c r="D18" s="7">
        <f t="shared" si="0"/>
        <v>8.4520317581442989E-2</v>
      </c>
      <c r="E18" s="13"/>
      <c r="F18" s="255"/>
    </row>
    <row r="19" spans="1:6" ht="15" customHeight="1" outlineLevel="1">
      <c r="A19" s="5" t="s">
        <v>26</v>
      </c>
      <c r="B19" s="254">
        <f>+'PRESUPUESTO GENERAL'!H50</f>
        <v>0</v>
      </c>
      <c r="C19" s="11">
        <f>+B19/$B$20</f>
        <v>0</v>
      </c>
      <c r="D19" s="7">
        <f t="shared" si="0"/>
        <v>0</v>
      </c>
      <c r="E19" s="256"/>
    </row>
    <row r="20" spans="1:6" ht="15" customHeight="1">
      <c r="A20" s="5" t="s">
        <v>27</v>
      </c>
      <c r="B20" s="250">
        <f>+B13+B16</f>
        <v>1825701.7915000001</v>
      </c>
      <c r="C20" s="7">
        <f>+C13+C16</f>
        <v>1</v>
      </c>
      <c r="D20" s="7">
        <f>+D13+D16</f>
        <v>0.33666287884927848</v>
      </c>
      <c r="E20" s="9">
        <f>+E18+E17+E13</f>
        <v>1</v>
      </c>
      <c r="F20" s="13"/>
    </row>
    <row r="21" spans="1:6" ht="15" customHeight="1"/>
    <row r="22" spans="1:6" ht="15" customHeight="1">
      <c r="A22" s="5" t="s">
        <v>28</v>
      </c>
      <c r="E22" s="13"/>
      <c r="F22" s="13"/>
    </row>
    <row r="23" spans="1:6" ht="15" customHeight="1">
      <c r="A23" s="5" t="str">
        <f>+A13</f>
        <v>Total Aportes CONSTRUCTOR</v>
      </c>
      <c r="B23" s="251">
        <f>$B$7*C23</f>
        <v>1134752.3050213894</v>
      </c>
      <c r="C23" s="11">
        <f>C13</f>
        <v>0.6843628775066577</v>
      </c>
      <c r="D23" s="457"/>
      <c r="E23" s="256"/>
      <c r="F23" s="13"/>
    </row>
    <row r="24" spans="1:6" ht="15" customHeight="1">
      <c r="A24" s="5" t="str">
        <f>+A16</f>
        <v>Total Aportes EPHVR</v>
      </c>
      <c r="B24" s="257">
        <f>$B$7*C24</f>
        <v>523362.62540212733</v>
      </c>
      <c r="C24" s="11">
        <f>C16</f>
        <v>0.3156371224933423</v>
      </c>
      <c r="D24" s="252"/>
      <c r="E24" s="256"/>
      <c r="F24" s="13"/>
    </row>
    <row r="25" spans="1:6" ht="15" customHeight="1">
      <c r="A25" s="5" t="s">
        <v>29</v>
      </c>
      <c r="B25" s="257">
        <f>SUM(B23:B24)</f>
        <v>1658114.9304235168</v>
      </c>
      <c r="C25" s="14">
        <f>SUM(C23:C24)</f>
        <v>1</v>
      </c>
      <c r="E25" s="256"/>
      <c r="F25" s="8"/>
    </row>
    <row r="26" spans="1:6" ht="15" customHeight="1">
      <c r="C26" s="256"/>
    </row>
    <row r="27" spans="1:6" ht="15" hidden="1" customHeight="1">
      <c r="A27" s="5" t="s">
        <v>30</v>
      </c>
      <c r="B27" s="15" t="s">
        <v>17</v>
      </c>
    </row>
    <row r="28" spans="1:6" ht="15" hidden="1" customHeight="1">
      <c r="A28" s="5" t="s">
        <v>31</v>
      </c>
      <c r="B28" s="251">
        <f>+B23</f>
        <v>1134752.3050213894</v>
      </c>
      <c r="C28" s="256"/>
    </row>
    <row r="29" spans="1:6" ht="15" hidden="1" customHeight="1">
      <c r="A29" s="5" t="s">
        <v>32</v>
      </c>
      <c r="B29" s="251">
        <f>+B13</f>
        <v>1249442.5315</v>
      </c>
    </row>
    <row r="30" spans="1:6" ht="15" hidden="1" customHeight="1">
      <c r="A30" s="5" t="s">
        <v>17</v>
      </c>
      <c r="B30" s="7">
        <f>+B28/B29</f>
        <v>0.9082068813994022</v>
      </c>
    </row>
    <row r="31" spans="1:6" ht="12.75" customHeight="1">
      <c r="A31" s="16" t="s">
        <v>19</v>
      </c>
    </row>
    <row r="32" spans="1:6" ht="12.75" customHeight="1">
      <c r="A32" s="16" t="s">
        <v>33</v>
      </c>
      <c r="B32" s="258">
        <f>B13</f>
        <v>1249442.5315</v>
      </c>
      <c r="D32" s="8"/>
      <c r="E32" s="259"/>
    </row>
    <row r="33" spans="1:8" ht="12.75" customHeight="1">
      <c r="A33" s="16" t="s">
        <v>34</v>
      </c>
      <c r="B33" s="257">
        <f>B7*C13</f>
        <v>1134752.3050213894</v>
      </c>
    </row>
    <row r="34" spans="1:8" ht="12.75" customHeight="1">
      <c r="A34" s="16" t="s">
        <v>35</v>
      </c>
      <c r="B34" s="11">
        <f>B33/B32</f>
        <v>0.9082068813994022</v>
      </c>
      <c r="D34" s="259"/>
    </row>
    <row r="36" spans="1:8" ht="12.75" customHeight="1">
      <c r="A36" s="16" t="s">
        <v>24</v>
      </c>
    </row>
    <row r="37" spans="1:8" ht="12.75" customHeight="1">
      <c r="A37" s="16" t="s">
        <v>33</v>
      </c>
      <c r="B37" s="258">
        <f>B16</f>
        <v>576259.26</v>
      </c>
      <c r="D37" s="17"/>
      <c r="E37" s="491"/>
      <c r="F37" s="492"/>
    </row>
    <row r="38" spans="1:8" ht="12.75" customHeight="1">
      <c r="A38" s="16" t="s">
        <v>34</v>
      </c>
      <c r="B38" s="257">
        <f>B7*C16</f>
        <v>523362.62540212733</v>
      </c>
      <c r="D38" s="17"/>
      <c r="E38" s="491"/>
      <c r="F38" s="492"/>
    </row>
    <row r="39" spans="1:8" ht="12.75" customHeight="1">
      <c r="A39" s="16" t="s">
        <v>35</v>
      </c>
      <c r="B39" s="11">
        <f>B38/B37</f>
        <v>0.90820688139940231</v>
      </c>
      <c r="D39" s="17"/>
      <c r="E39" s="491"/>
      <c r="F39" s="492"/>
    </row>
    <row r="40" spans="1:8" ht="12.75" customHeight="1">
      <c r="D40" s="17"/>
      <c r="E40" s="493"/>
      <c r="F40" s="492"/>
    </row>
    <row r="41" spans="1:8" ht="12.75" customHeight="1">
      <c r="A41" s="479" t="s">
        <v>597</v>
      </c>
      <c r="D41" s="17"/>
      <c r="E41" s="491"/>
      <c r="F41" s="492"/>
    </row>
    <row r="42" spans="1:8" ht="12.75" customHeight="1" thickBot="1">
      <c r="D42" s="447" t="s">
        <v>598</v>
      </c>
      <c r="E42" s="447" t="s">
        <v>599</v>
      </c>
      <c r="F42" s="473"/>
    </row>
    <row r="43" spans="1:8" ht="30" customHeight="1" thickBot="1">
      <c r="B43" s="464" t="s">
        <v>595</v>
      </c>
      <c r="C43" s="464" t="s">
        <v>593</v>
      </c>
      <c r="D43" s="464" t="s">
        <v>588</v>
      </c>
      <c r="E43" s="472" t="s">
        <v>589</v>
      </c>
      <c r="F43" s="472" t="s">
        <v>594</v>
      </c>
      <c r="G43" s="464" t="s">
        <v>591</v>
      </c>
      <c r="H43" s="464" t="s">
        <v>590</v>
      </c>
    </row>
    <row r="44" spans="1:8" ht="12.75" customHeight="1">
      <c r="A44" s="461" t="s">
        <v>519</v>
      </c>
      <c r="B44" s="465">
        <f>-B6</f>
        <v>5422937.6215764889</v>
      </c>
      <c r="C44" s="461"/>
      <c r="D44" s="469"/>
      <c r="E44" s="461"/>
      <c r="F44" s="461"/>
      <c r="G44" s="461"/>
      <c r="H44" s="461"/>
    </row>
    <row r="45" spans="1:8" ht="12.75" customHeight="1">
      <c r="A45" s="462" t="s">
        <v>586</v>
      </c>
      <c r="B45" s="466">
        <f>+B13</f>
        <v>1249442.5315</v>
      </c>
      <c r="C45" s="468">
        <f>-B13/B6</f>
        <v>0.23039957651896753</v>
      </c>
      <c r="D45" s="470">
        <f>+B48/B44</f>
        <v>0.66333712115072141</v>
      </c>
      <c r="E45" s="462"/>
      <c r="F45" s="468">
        <f>+C45+D45</f>
        <v>0.893736697669689</v>
      </c>
      <c r="G45" s="471">
        <f>+F45*B7</f>
        <v>1481918.1622735199</v>
      </c>
      <c r="H45" s="466">
        <f>+B7*C46</f>
        <v>176196.7681499967</v>
      </c>
    </row>
    <row r="46" spans="1:8" ht="12.75" customHeight="1">
      <c r="A46" s="462" t="s">
        <v>24</v>
      </c>
      <c r="B46" s="466">
        <f>+B16</f>
        <v>576259.26</v>
      </c>
      <c r="C46" s="468">
        <f>+B46/B44</f>
        <v>0.10626330233031098</v>
      </c>
      <c r="D46" s="462"/>
      <c r="E46" s="470">
        <f>+B48/B44</f>
        <v>0.66333712115072141</v>
      </c>
      <c r="F46" s="468">
        <f>+C46+E46</f>
        <v>0.76960042348103241</v>
      </c>
      <c r="G46" s="471">
        <f>+F46*B7</f>
        <v>1276085.9526341611</v>
      </c>
      <c r="H46" s="466">
        <f>+B7*C45</f>
        <v>382028.97778935556</v>
      </c>
    </row>
    <row r="47" spans="1:8" ht="12.75" customHeight="1">
      <c r="A47" s="462" t="s">
        <v>587</v>
      </c>
      <c r="B47" s="466">
        <f>SUM(B45:B46)</f>
        <v>1825701.7915000001</v>
      </c>
      <c r="C47" s="462"/>
      <c r="D47" s="462"/>
      <c r="E47" s="462"/>
      <c r="F47" s="462"/>
      <c r="G47" s="462"/>
      <c r="H47" s="462"/>
    </row>
    <row r="48" spans="1:8" ht="12.75" customHeight="1" thickBot="1">
      <c r="A48" s="463" t="s">
        <v>592</v>
      </c>
      <c r="B48" s="467">
        <f>+B44-B47</f>
        <v>3597235.8300764887</v>
      </c>
      <c r="C48" s="463"/>
      <c r="D48" s="463"/>
      <c r="E48" s="463"/>
      <c r="F48" s="463"/>
      <c r="G48" s="463"/>
      <c r="H48" s="463"/>
    </row>
    <row r="49" spans="1:7" ht="12.75" customHeight="1" thickBot="1"/>
    <row r="50" spans="1:7" ht="12.75" customHeight="1" thickBot="1">
      <c r="C50" s="464" t="s">
        <v>600</v>
      </c>
    </row>
    <row r="51" spans="1:7" ht="12.75" customHeight="1" thickBot="1">
      <c r="A51" s="461"/>
      <c r="B51" s="476">
        <f>+B48/2</f>
        <v>1798617.9150382443</v>
      </c>
      <c r="C51" s="461"/>
      <c r="D51" s="461"/>
      <c r="E51" s="461"/>
      <c r="F51" s="461"/>
      <c r="G51" s="461"/>
    </row>
    <row r="52" spans="1:7" ht="12.75" customHeight="1">
      <c r="A52" s="462" t="s">
        <v>586</v>
      </c>
      <c r="B52" s="462"/>
      <c r="C52" s="477">
        <f>+C45</f>
        <v>0.23039957651896753</v>
      </c>
      <c r="D52" s="468">
        <f>+D45/2</f>
        <v>0.3316685605753607</v>
      </c>
      <c r="E52" s="462"/>
      <c r="F52" s="477">
        <f>+C52+D52</f>
        <v>0.56206813709432824</v>
      </c>
      <c r="G52" s="478">
        <f>+B7*F52</f>
        <v>931973.57003143779</v>
      </c>
    </row>
    <row r="53" spans="1:7" ht="12.75" customHeight="1">
      <c r="A53" s="462" t="s">
        <v>24</v>
      </c>
      <c r="B53" s="462"/>
      <c r="C53" s="477">
        <f>+C46</f>
        <v>0.10626330233031098</v>
      </c>
      <c r="D53" s="462"/>
      <c r="E53" s="468">
        <f>+E46/2</f>
        <v>0.3316685605753607</v>
      </c>
      <c r="F53" s="477">
        <f>+C53+E53</f>
        <v>0.43793186290567165</v>
      </c>
      <c r="G53" s="478">
        <f>+B7*F53</f>
        <v>726141.36039207887</v>
      </c>
    </row>
    <row r="54" spans="1:7" ht="12.75" customHeight="1" thickBot="1">
      <c r="A54" s="463"/>
      <c r="C54" s="463"/>
      <c r="D54" s="463"/>
      <c r="E54" s="463"/>
      <c r="F54" s="463"/>
      <c r="G54" s="463"/>
    </row>
  </sheetData>
  <mergeCells count="6">
    <mergeCell ref="B2:C2"/>
    <mergeCell ref="E38:F38"/>
    <mergeCell ref="E41:F41"/>
    <mergeCell ref="E37:F37"/>
    <mergeCell ref="E40:F40"/>
    <mergeCell ref="E39:F39"/>
  </mergeCells>
  <pageMargins left="0.7" right="0.7" top="0.75" bottom="0.75" header="0.511811023622047" footer="0.511811023622047"/>
  <pageSetup paperSize="9" scale="84" orientation="portrait" horizontalDpi="300" verticalDpi="300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B1:K34"/>
  <sheetViews>
    <sheetView showZeros="0" zoomScaleNormal="100" workbookViewId="0"/>
  </sheetViews>
  <sheetFormatPr baseColWidth="10" defaultColWidth="11.42578125" defaultRowHeight="13.5" customHeight="1"/>
  <cols>
    <col min="1" max="1" width="11.42578125" style="18" customWidth="1"/>
    <col min="2" max="2" width="47.42578125" style="18" customWidth="1"/>
    <col min="3" max="3" width="16.7109375" style="19" customWidth="1"/>
    <col min="4" max="4" width="12.5703125" style="18" customWidth="1"/>
    <col min="5" max="6" width="10.85546875" style="18" customWidth="1"/>
    <col min="7" max="7" width="9.7109375" style="18" customWidth="1"/>
    <col min="8" max="8" width="9.42578125" style="18" customWidth="1"/>
    <col min="9" max="257" width="11.42578125" style="18" customWidth="1"/>
    <col min="258" max="258" width="44.7109375" style="18" customWidth="1"/>
    <col min="259" max="259" width="15.5703125" style="18" customWidth="1"/>
    <col min="260" max="260" width="12.5703125" style="18" customWidth="1"/>
    <col min="261" max="262" width="10.85546875" style="18" customWidth="1"/>
    <col min="263" max="263" width="9.7109375" style="18" customWidth="1"/>
    <col min="264" max="264" width="9.42578125" style="18" customWidth="1"/>
    <col min="265" max="513" width="11.42578125" style="18" customWidth="1"/>
    <col min="514" max="514" width="44.7109375" style="18" customWidth="1"/>
    <col min="515" max="515" width="15.5703125" style="18" customWidth="1"/>
    <col min="516" max="516" width="12.5703125" style="18" customWidth="1"/>
    <col min="517" max="518" width="10.85546875" style="18" customWidth="1"/>
    <col min="519" max="519" width="9.7109375" style="18" customWidth="1"/>
    <col min="520" max="520" width="9.42578125" style="18" customWidth="1"/>
    <col min="521" max="769" width="11.42578125" style="18" customWidth="1"/>
    <col min="770" max="770" width="44.7109375" style="18" customWidth="1"/>
    <col min="771" max="771" width="15.5703125" style="18" customWidth="1"/>
    <col min="772" max="772" width="12.5703125" style="18" customWidth="1"/>
    <col min="773" max="774" width="10.85546875" style="18" customWidth="1"/>
    <col min="775" max="775" width="9.7109375" style="18" customWidth="1"/>
    <col min="776" max="776" width="9.42578125" style="18" customWidth="1"/>
    <col min="777" max="1025" width="11.42578125" style="18" customWidth="1"/>
    <col min="1026" max="1026" width="44.7109375" style="18" customWidth="1"/>
    <col min="1027" max="1027" width="15.5703125" style="18" customWidth="1"/>
    <col min="1028" max="1028" width="12.5703125" style="18" customWidth="1"/>
    <col min="1029" max="1030" width="10.85546875" style="18" customWidth="1"/>
    <col min="1031" max="1031" width="9.7109375" style="18" customWidth="1"/>
    <col min="1032" max="1032" width="9.42578125" style="18" customWidth="1"/>
    <col min="1033" max="1281" width="11.42578125" style="18" customWidth="1"/>
    <col min="1282" max="1282" width="44.7109375" style="18" customWidth="1"/>
    <col min="1283" max="1283" width="15.5703125" style="18" customWidth="1"/>
    <col min="1284" max="1284" width="12.5703125" style="18" customWidth="1"/>
    <col min="1285" max="1286" width="10.85546875" style="18" customWidth="1"/>
    <col min="1287" max="1287" width="9.7109375" style="18" customWidth="1"/>
    <col min="1288" max="1288" width="9.42578125" style="18" customWidth="1"/>
    <col min="1289" max="1537" width="11.42578125" style="18" customWidth="1"/>
    <col min="1538" max="1538" width="44.7109375" style="18" customWidth="1"/>
    <col min="1539" max="1539" width="15.5703125" style="18" customWidth="1"/>
    <col min="1540" max="1540" width="12.5703125" style="18" customWidth="1"/>
    <col min="1541" max="1542" width="10.85546875" style="18" customWidth="1"/>
    <col min="1543" max="1543" width="9.7109375" style="18" customWidth="1"/>
    <col min="1544" max="1544" width="9.42578125" style="18" customWidth="1"/>
    <col min="1545" max="1793" width="11.42578125" style="18" customWidth="1"/>
    <col min="1794" max="1794" width="44.7109375" style="18" customWidth="1"/>
    <col min="1795" max="1795" width="15.5703125" style="18" customWidth="1"/>
    <col min="1796" max="1796" width="12.5703125" style="18" customWidth="1"/>
    <col min="1797" max="1798" width="10.85546875" style="18" customWidth="1"/>
    <col min="1799" max="1799" width="9.7109375" style="18" customWidth="1"/>
    <col min="1800" max="1800" width="9.42578125" style="18" customWidth="1"/>
    <col min="1801" max="2049" width="11.42578125" style="18" customWidth="1"/>
    <col min="2050" max="2050" width="44.7109375" style="18" customWidth="1"/>
    <col min="2051" max="2051" width="15.5703125" style="18" customWidth="1"/>
    <col min="2052" max="2052" width="12.5703125" style="18" customWidth="1"/>
    <col min="2053" max="2054" width="10.85546875" style="18" customWidth="1"/>
    <col min="2055" max="2055" width="9.7109375" style="18" customWidth="1"/>
    <col min="2056" max="2056" width="9.42578125" style="18" customWidth="1"/>
    <col min="2057" max="2305" width="11.42578125" style="18" customWidth="1"/>
    <col min="2306" max="2306" width="44.7109375" style="18" customWidth="1"/>
    <col min="2307" max="2307" width="15.5703125" style="18" customWidth="1"/>
    <col min="2308" max="2308" width="12.5703125" style="18" customWidth="1"/>
    <col min="2309" max="2310" width="10.85546875" style="18" customWidth="1"/>
    <col min="2311" max="2311" width="9.7109375" style="18" customWidth="1"/>
    <col min="2312" max="2312" width="9.42578125" style="18" customWidth="1"/>
    <col min="2313" max="2561" width="11.42578125" style="18" customWidth="1"/>
    <col min="2562" max="2562" width="44.7109375" style="18" customWidth="1"/>
    <col min="2563" max="2563" width="15.5703125" style="18" customWidth="1"/>
    <col min="2564" max="2564" width="12.5703125" style="18" customWidth="1"/>
    <col min="2565" max="2566" width="10.85546875" style="18" customWidth="1"/>
    <col min="2567" max="2567" width="9.7109375" style="18" customWidth="1"/>
    <col min="2568" max="2568" width="9.42578125" style="18" customWidth="1"/>
    <col min="2569" max="2817" width="11.42578125" style="18" customWidth="1"/>
    <col min="2818" max="2818" width="44.7109375" style="18" customWidth="1"/>
    <col min="2819" max="2819" width="15.5703125" style="18" customWidth="1"/>
    <col min="2820" max="2820" width="12.5703125" style="18" customWidth="1"/>
    <col min="2821" max="2822" width="10.85546875" style="18" customWidth="1"/>
    <col min="2823" max="2823" width="9.7109375" style="18" customWidth="1"/>
    <col min="2824" max="2824" width="9.42578125" style="18" customWidth="1"/>
    <col min="2825" max="3073" width="11.42578125" style="18" customWidth="1"/>
    <col min="3074" max="3074" width="44.7109375" style="18" customWidth="1"/>
    <col min="3075" max="3075" width="15.5703125" style="18" customWidth="1"/>
    <col min="3076" max="3076" width="12.5703125" style="18" customWidth="1"/>
    <col min="3077" max="3078" width="10.85546875" style="18" customWidth="1"/>
    <col min="3079" max="3079" width="9.7109375" style="18" customWidth="1"/>
    <col min="3080" max="3080" width="9.42578125" style="18" customWidth="1"/>
    <col min="3081" max="3329" width="11.42578125" style="18" customWidth="1"/>
    <col min="3330" max="3330" width="44.7109375" style="18" customWidth="1"/>
    <col min="3331" max="3331" width="15.5703125" style="18" customWidth="1"/>
    <col min="3332" max="3332" width="12.5703125" style="18" customWidth="1"/>
    <col min="3333" max="3334" width="10.85546875" style="18" customWidth="1"/>
    <col min="3335" max="3335" width="9.7109375" style="18" customWidth="1"/>
    <col min="3336" max="3336" width="9.42578125" style="18" customWidth="1"/>
    <col min="3337" max="3585" width="11.42578125" style="18" customWidth="1"/>
    <col min="3586" max="3586" width="44.7109375" style="18" customWidth="1"/>
    <col min="3587" max="3587" width="15.5703125" style="18" customWidth="1"/>
    <col min="3588" max="3588" width="12.5703125" style="18" customWidth="1"/>
    <col min="3589" max="3590" width="10.85546875" style="18" customWidth="1"/>
    <col min="3591" max="3591" width="9.7109375" style="18" customWidth="1"/>
    <col min="3592" max="3592" width="9.42578125" style="18" customWidth="1"/>
    <col min="3593" max="3841" width="11.42578125" style="18" customWidth="1"/>
    <col min="3842" max="3842" width="44.7109375" style="18" customWidth="1"/>
    <col min="3843" max="3843" width="15.5703125" style="18" customWidth="1"/>
    <col min="3844" max="3844" width="12.5703125" style="18" customWidth="1"/>
    <col min="3845" max="3846" width="10.85546875" style="18" customWidth="1"/>
    <col min="3847" max="3847" width="9.7109375" style="18" customWidth="1"/>
    <col min="3848" max="3848" width="9.42578125" style="18" customWidth="1"/>
    <col min="3849" max="4097" width="11.42578125" style="18" customWidth="1"/>
    <col min="4098" max="4098" width="44.7109375" style="18" customWidth="1"/>
    <col min="4099" max="4099" width="15.5703125" style="18" customWidth="1"/>
    <col min="4100" max="4100" width="12.5703125" style="18" customWidth="1"/>
    <col min="4101" max="4102" width="10.85546875" style="18" customWidth="1"/>
    <col min="4103" max="4103" width="9.7109375" style="18" customWidth="1"/>
    <col min="4104" max="4104" width="9.42578125" style="18" customWidth="1"/>
    <col min="4105" max="4353" width="11.42578125" style="18" customWidth="1"/>
    <col min="4354" max="4354" width="44.7109375" style="18" customWidth="1"/>
    <col min="4355" max="4355" width="15.5703125" style="18" customWidth="1"/>
    <col min="4356" max="4356" width="12.5703125" style="18" customWidth="1"/>
    <col min="4357" max="4358" width="10.85546875" style="18" customWidth="1"/>
    <col min="4359" max="4359" width="9.7109375" style="18" customWidth="1"/>
    <col min="4360" max="4360" width="9.42578125" style="18" customWidth="1"/>
    <col min="4361" max="4609" width="11.42578125" style="18" customWidth="1"/>
    <col min="4610" max="4610" width="44.7109375" style="18" customWidth="1"/>
    <col min="4611" max="4611" width="15.5703125" style="18" customWidth="1"/>
    <col min="4612" max="4612" width="12.5703125" style="18" customWidth="1"/>
    <col min="4613" max="4614" width="10.85546875" style="18" customWidth="1"/>
    <col min="4615" max="4615" width="9.7109375" style="18" customWidth="1"/>
    <col min="4616" max="4616" width="9.42578125" style="18" customWidth="1"/>
    <col min="4617" max="4865" width="11.42578125" style="18" customWidth="1"/>
    <col min="4866" max="4866" width="44.7109375" style="18" customWidth="1"/>
    <col min="4867" max="4867" width="15.5703125" style="18" customWidth="1"/>
    <col min="4868" max="4868" width="12.5703125" style="18" customWidth="1"/>
    <col min="4869" max="4870" width="10.85546875" style="18" customWidth="1"/>
    <col min="4871" max="4871" width="9.7109375" style="18" customWidth="1"/>
    <col min="4872" max="4872" width="9.42578125" style="18" customWidth="1"/>
    <col min="4873" max="5121" width="11.42578125" style="18" customWidth="1"/>
    <col min="5122" max="5122" width="44.7109375" style="18" customWidth="1"/>
    <col min="5123" max="5123" width="15.5703125" style="18" customWidth="1"/>
    <col min="5124" max="5124" width="12.5703125" style="18" customWidth="1"/>
    <col min="5125" max="5126" width="10.85546875" style="18" customWidth="1"/>
    <col min="5127" max="5127" width="9.7109375" style="18" customWidth="1"/>
    <col min="5128" max="5128" width="9.42578125" style="18" customWidth="1"/>
    <col min="5129" max="5377" width="11.42578125" style="18" customWidth="1"/>
    <col min="5378" max="5378" width="44.7109375" style="18" customWidth="1"/>
    <col min="5379" max="5379" width="15.5703125" style="18" customWidth="1"/>
    <col min="5380" max="5380" width="12.5703125" style="18" customWidth="1"/>
    <col min="5381" max="5382" width="10.85546875" style="18" customWidth="1"/>
    <col min="5383" max="5383" width="9.7109375" style="18" customWidth="1"/>
    <col min="5384" max="5384" width="9.42578125" style="18" customWidth="1"/>
    <col min="5385" max="5633" width="11.42578125" style="18" customWidth="1"/>
    <col min="5634" max="5634" width="44.7109375" style="18" customWidth="1"/>
    <col min="5635" max="5635" width="15.5703125" style="18" customWidth="1"/>
    <col min="5636" max="5636" width="12.5703125" style="18" customWidth="1"/>
    <col min="5637" max="5638" width="10.85546875" style="18" customWidth="1"/>
    <col min="5639" max="5639" width="9.7109375" style="18" customWidth="1"/>
    <col min="5640" max="5640" width="9.42578125" style="18" customWidth="1"/>
    <col min="5641" max="5889" width="11.42578125" style="18" customWidth="1"/>
    <col min="5890" max="5890" width="44.7109375" style="18" customWidth="1"/>
    <col min="5891" max="5891" width="15.5703125" style="18" customWidth="1"/>
    <col min="5892" max="5892" width="12.5703125" style="18" customWidth="1"/>
    <col min="5893" max="5894" width="10.85546875" style="18" customWidth="1"/>
    <col min="5895" max="5895" width="9.7109375" style="18" customWidth="1"/>
    <col min="5896" max="5896" width="9.42578125" style="18" customWidth="1"/>
    <col min="5897" max="6145" width="11.42578125" style="18" customWidth="1"/>
    <col min="6146" max="6146" width="44.7109375" style="18" customWidth="1"/>
    <col min="6147" max="6147" width="15.5703125" style="18" customWidth="1"/>
    <col min="6148" max="6148" width="12.5703125" style="18" customWidth="1"/>
    <col min="6149" max="6150" width="10.85546875" style="18" customWidth="1"/>
    <col min="6151" max="6151" width="9.7109375" style="18" customWidth="1"/>
    <col min="6152" max="6152" width="9.42578125" style="18" customWidth="1"/>
    <col min="6153" max="6401" width="11.42578125" style="18" customWidth="1"/>
    <col min="6402" max="6402" width="44.7109375" style="18" customWidth="1"/>
    <col min="6403" max="6403" width="15.5703125" style="18" customWidth="1"/>
    <col min="6404" max="6404" width="12.5703125" style="18" customWidth="1"/>
    <col min="6405" max="6406" width="10.85546875" style="18" customWidth="1"/>
    <col min="6407" max="6407" width="9.7109375" style="18" customWidth="1"/>
    <col min="6408" max="6408" width="9.42578125" style="18" customWidth="1"/>
    <col min="6409" max="6657" width="11.42578125" style="18" customWidth="1"/>
    <col min="6658" max="6658" width="44.7109375" style="18" customWidth="1"/>
    <col min="6659" max="6659" width="15.5703125" style="18" customWidth="1"/>
    <col min="6660" max="6660" width="12.5703125" style="18" customWidth="1"/>
    <col min="6661" max="6662" width="10.85546875" style="18" customWidth="1"/>
    <col min="6663" max="6663" width="9.7109375" style="18" customWidth="1"/>
    <col min="6664" max="6664" width="9.42578125" style="18" customWidth="1"/>
    <col min="6665" max="6913" width="11.42578125" style="18" customWidth="1"/>
    <col min="6914" max="6914" width="44.7109375" style="18" customWidth="1"/>
    <col min="6915" max="6915" width="15.5703125" style="18" customWidth="1"/>
    <col min="6916" max="6916" width="12.5703125" style="18" customWidth="1"/>
    <col min="6917" max="6918" width="10.85546875" style="18" customWidth="1"/>
    <col min="6919" max="6919" width="9.7109375" style="18" customWidth="1"/>
    <col min="6920" max="6920" width="9.42578125" style="18" customWidth="1"/>
    <col min="6921" max="7169" width="11.42578125" style="18" customWidth="1"/>
    <col min="7170" max="7170" width="44.7109375" style="18" customWidth="1"/>
    <col min="7171" max="7171" width="15.5703125" style="18" customWidth="1"/>
    <col min="7172" max="7172" width="12.5703125" style="18" customWidth="1"/>
    <col min="7173" max="7174" width="10.85546875" style="18" customWidth="1"/>
    <col min="7175" max="7175" width="9.7109375" style="18" customWidth="1"/>
    <col min="7176" max="7176" width="9.42578125" style="18" customWidth="1"/>
    <col min="7177" max="7425" width="11.42578125" style="18" customWidth="1"/>
    <col min="7426" max="7426" width="44.7109375" style="18" customWidth="1"/>
    <col min="7427" max="7427" width="15.5703125" style="18" customWidth="1"/>
    <col min="7428" max="7428" width="12.5703125" style="18" customWidth="1"/>
    <col min="7429" max="7430" width="10.85546875" style="18" customWidth="1"/>
    <col min="7431" max="7431" width="9.7109375" style="18" customWidth="1"/>
    <col min="7432" max="7432" width="9.42578125" style="18" customWidth="1"/>
    <col min="7433" max="7681" width="11.42578125" style="18" customWidth="1"/>
    <col min="7682" max="7682" width="44.7109375" style="18" customWidth="1"/>
    <col min="7683" max="7683" width="15.5703125" style="18" customWidth="1"/>
    <col min="7684" max="7684" width="12.5703125" style="18" customWidth="1"/>
    <col min="7685" max="7686" width="10.85546875" style="18" customWidth="1"/>
    <col min="7687" max="7687" width="9.7109375" style="18" customWidth="1"/>
    <col min="7688" max="7688" width="9.42578125" style="18" customWidth="1"/>
    <col min="7689" max="7937" width="11.42578125" style="18" customWidth="1"/>
    <col min="7938" max="7938" width="44.7109375" style="18" customWidth="1"/>
    <col min="7939" max="7939" width="15.5703125" style="18" customWidth="1"/>
    <col min="7940" max="7940" width="12.5703125" style="18" customWidth="1"/>
    <col min="7941" max="7942" width="10.85546875" style="18" customWidth="1"/>
    <col min="7943" max="7943" width="9.7109375" style="18" customWidth="1"/>
    <col min="7944" max="7944" width="9.42578125" style="18" customWidth="1"/>
    <col min="7945" max="8193" width="11.42578125" style="18" customWidth="1"/>
    <col min="8194" max="8194" width="44.7109375" style="18" customWidth="1"/>
    <col min="8195" max="8195" width="15.5703125" style="18" customWidth="1"/>
    <col min="8196" max="8196" width="12.5703125" style="18" customWidth="1"/>
    <col min="8197" max="8198" width="10.85546875" style="18" customWidth="1"/>
    <col min="8199" max="8199" width="9.7109375" style="18" customWidth="1"/>
    <col min="8200" max="8200" width="9.42578125" style="18" customWidth="1"/>
    <col min="8201" max="8449" width="11.42578125" style="18" customWidth="1"/>
    <col min="8450" max="8450" width="44.7109375" style="18" customWidth="1"/>
    <col min="8451" max="8451" width="15.5703125" style="18" customWidth="1"/>
    <col min="8452" max="8452" width="12.5703125" style="18" customWidth="1"/>
    <col min="8453" max="8454" width="10.85546875" style="18" customWidth="1"/>
    <col min="8455" max="8455" width="9.7109375" style="18" customWidth="1"/>
    <col min="8456" max="8456" width="9.42578125" style="18" customWidth="1"/>
    <col min="8457" max="8705" width="11.42578125" style="18" customWidth="1"/>
    <col min="8706" max="8706" width="44.7109375" style="18" customWidth="1"/>
    <col min="8707" max="8707" width="15.5703125" style="18" customWidth="1"/>
    <col min="8708" max="8708" width="12.5703125" style="18" customWidth="1"/>
    <col min="8709" max="8710" width="10.85546875" style="18" customWidth="1"/>
    <col min="8711" max="8711" width="9.7109375" style="18" customWidth="1"/>
    <col min="8712" max="8712" width="9.42578125" style="18" customWidth="1"/>
    <col min="8713" max="8961" width="11.42578125" style="18" customWidth="1"/>
    <col min="8962" max="8962" width="44.7109375" style="18" customWidth="1"/>
    <col min="8963" max="8963" width="15.5703125" style="18" customWidth="1"/>
    <col min="8964" max="8964" width="12.5703125" style="18" customWidth="1"/>
    <col min="8965" max="8966" width="10.85546875" style="18" customWidth="1"/>
    <col min="8967" max="8967" width="9.7109375" style="18" customWidth="1"/>
    <col min="8968" max="8968" width="9.42578125" style="18" customWidth="1"/>
    <col min="8969" max="9217" width="11.42578125" style="18" customWidth="1"/>
    <col min="9218" max="9218" width="44.7109375" style="18" customWidth="1"/>
    <col min="9219" max="9219" width="15.5703125" style="18" customWidth="1"/>
    <col min="9220" max="9220" width="12.5703125" style="18" customWidth="1"/>
    <col min="9221" max="9222" width="10.85546875" style="18" customWidth="1"/>
    <col min="9223" max="9223" width="9.7109375" style="18" customWidth="1"/>
    <col min="9224" max="9224" width="9.42578125" style="18" customWidth="1"/>
    <col min="9225" max="9473" width="11.42578125" style="18" customWidth="1"/>
    <col min="9474" max="9474" width="44.7109375" style="18" customWidth="1"/>
    <col min="9475" max="9475" width="15.5703125" style="18" customWidth="1"/>
    <col min="9476" max="9476" width="12.5703125" style="18" customWidth="1"/>
    <col min="9477" max="9478" width="10.85546875" style="18" customWidth="1"/>
    <col min="9479" max="9479" width="9.7109375" style="18" customWidth="1"/>
    <col min="9480" max="9480" width="9.42578125" style="18" customWidth="1"/>
    <col min="9481" max="9729" width="11.42578125" style="18" customWidth="1"/>
    <col min="9730" max="9730" width="44.7109375" style="18" customWidth="1"/>
    <col min="9731" max="9731" width="15.5703125" style="18" customWidth="1"/>
    <col min="9732" max="9732" width="12.5703125" style="18" customWidth="1"/>
    <col min="9733" max="9734" width="10.85546875" style="18" customWidth="1"/>
    <col min="9735" max="9735" width="9.7109375" style="18" customWidth="1"/>
    <col min="9736" max="9736" width="9.42578125" style="18" customWidth="1"/>
    <col min="9737" max="9985" width="11.42578125" style="18" customWidth="1"/>
    <col min="9986" max="9986" width="44.7109375" style="18" customWidth="1"/>
    <col min="9987" max="9987" width="15.5703125" style="18" customWidth="1"/>
    <col min="9988" max="9988" width="12.5703125" style="18" customWidth="1"/>
    <col min="9989" max="9990" width="10.85546875" style="18" customWidth="1"/>
    <col min="9991" max="9991" width="9.7109375" style="18" customWidth="1"/>
    <col min="9992" max="9992" width="9.42578125" style="18" customWidth="1"/>
    <col min="9993" max="10241" width="11.42578125" style="18" customWidth="1"/>
    <col min="10242" max="10242" width="44.7109375" style="18" customWidth="1"/>
    <col min="10243" max="10243" width="15.5703125" style="18" customWidth="1"/>
    <col min="10244" max="10244" width="12.5703125" style="18" customWidth="1"/>
    <col min="10245" max="10246" width="10.85546875" style="18" customWidth="1"/>
    <col min="10247" max="10247" width="9.7109375" style="18" customWidth="1"/>
    <col min="10248" max="10248" width="9.42578125" style="18" customWidth="1"/>
    <col min="10249" max="10497" width="11.42578125" style="18" customWidth="1"/>
    <col min="10498" max="10498" width="44.7109375" style="18" customWidth="1"/>
    <col min="10499" max="10499" width="15.5703125" style="18" customWidth="1"/>
    <col min="10500" max="10500" width="12.5703125" style="18" customWidth="1"/>
    <col min="10501" max="10502" width="10.85546875" style="18" customWidth="1"/>
    <col min="10503" max="10503" width="9.7109375" style="18" customWidth="1"/>
    <col min="10504" max="10504" width="9.42578125" style="18" customWidth="1"/>
    <col min="10505" max="10753" width="11.42578125" style="18" customWidth="1"/>
    <col min="10754" max="10754" width="44.7109375" style="18" customWidth="1"/>
    <col min="10755" max="10755" width="15.5703125" style="18" customWidth="1"/>
    <col min="10756" max="10756" width="12.5703125" style="18" customWidth="1"/>
    <col min="10757" max="10758" width="10.85546875" style="18" customWidth="1"/>
    <col min="10759" max="10759" width="9.7109375" style="18" customWidth="1"/>
    <col min="10760" max="10760" width="9.42578125" style="18" customWidth="1"/>
    <col min="10761" max="11009" width="11.42578125" style="18" customWidth="1"/>
    <col min="11010" max="11010" width="44.7109375" style="18" customWidth="1"/>
    <col min="11011" max="11011" width="15.5703125" style="18" customWidth="1"/>
    <col min="11012" max="11012" width="12.5703125" style="18" customWidth="1"/>
    <col min="11013" max="11014" width="10.85546875" style="18" customWidth="1"/>
    <col min="11015" max="11015" width="9.7109375" style="18" customWidth="1"/>
    <col min="11016" max="11016" width="9.42578125" style="18" customWidth="1"/>
    <col min="11017" max="11265" width="11.42578125" style="18" customWidth="1"/>
    <col min="11266" max="11266" width="44.7109375" style="18" customWidth="1"/>
    <col min="11267" max="11267" width="15.5703125" style="18" customWidth="1"/>
    <col min="11268" max="11268" width="12.5703125" style="18" customWidth="1"/>
    <col min="11269" max="11270" width="10.85546875" style="18" customWidth="1"/>
    <col min="11271" max="11271" width="9.7109375" style="18" customWidth="1"/>
    <col min="11272" max="11272" width="9.42578125" style="18" customWidth="1"/>
    <col min="11273" max="11521" width="11.42578125" style="18" customWidth="1"/>
    <col min="11522" max="11522" width="44.7109375" style="18" customWidth="1"/>
    <col min="11523" max="11523" width="15.5703125" style="18" customWidth="1"/>
    <col min="11524" max="11524" width="12.5703125" style="18" customWidth="1"/>
    <col min="11525" max="11526" width="10.85546875" style="18" customWidth="1"/>
    <col min="11527" max="11527" width="9.7109375" style="18" customWidth="1"/>
    <col min="11528" max="11528" width="9.42578125" style="18" customWidth="1"/>
    <col min="11529" max="11777" width="11.42578125" style="18" customWidth="1"/>
    <col min="11778" max="11778" width="44.7109375" style="18" customWidth="1"/>
    <col min="11779" max="11779" width="15.5703125" style="18" customWidth="1"/>
    <col min="11780" max="11780" width="12.5703125" style="18" customWidth="1"/>
    <col min="11781" max="11782" width="10.85546875" style="18" customWidth="1"/>
    <col min="11783" max="11783" width="9.7109375" style="18" customWidth="1"/>
    <col min="11784" max="11784" width="9.42578125" style="18" customWidth="1"/>
    <col min="11785" max="12033" width="11.42578125" style="18" customWidth="1"/>
    <col min="12034" max="12034" width="44.7109375" style="18" customWidth="1"/>
    <col min="12035" max="12035" width="15.5703125" style="18" customWidth="1"/>
    <col min="12036" max="12036" width="12.5703125" style="18" customWidth="1"/>
    <col min="12037" max="12038" width="10.85546875" style="18" customWidth="1"/>
    <col min="12039" max="12039" width="9.7109375" style="18" customWidth="1"/>
    <col min="12040" max="12040" width="9.42578125" style="18" customWidth="1"/>
    <col min="12041" max="12289" width="11.42578125" style="18" customWidth="1"/>
    <col min="12290" max="12290" width="44.7109375" style="18" customWidth="1"/>
    <col min="12291" max="12291" width="15.5703125" style="18" customWidth="1"/>
    <col min="12292" max="12292" width="12.5703125" style="18" customWidth="1"/>
    <col min="12293" max="12294" width="10.85546875" style="18" customWidth="1"/>
    <col min="12295" max="12295" width="9.7109375" style="18" customWidth="1"/>
    <col min="12296" max="12296" width="9.42578125" style="18" customWidth="1"/>
    <col min="12297" max="12545" width="11.42578125" style="18" customWidth="1"/>
    <col min="12546" max="12546" width="44.7109375" style="18" customWidth="1"/>
    <col min="12547" max="12547" width="15.5703125" style="18" customWidth="1"/>
    <col min="12548" max="12548" width="12.5703125" style="18" customWidth="1"/>
    <col min="12549" max="12550" width="10.85546875" style="18" customWidth="1"/>
    <col min="12551" max="12551" width="9.7109375" style="18" customWidth="1"/>
    <col min="12552" max="12552" width="9.42578125" style="18" customWidth="1"/>
    <col min="12553" max="12801" width="11.42578125" style="18" customWidth="1"/>
    <col min="12802" max="12802" width="44.7109375" style="18" customWidth="1"/>
    <col min="12803" max="12803" width="15.5703125" style="18" customWidth="1"/>
    <col min="12804" max="12804" width="12.5703125" style="18" customWidth="1"/>
    <col min="12805" max="12806" width="10.85546875" style="18" customWidth="1"/>
    <col min="12807" max="12807" width="9.7109375" style="18" customWidth="1"/>
    <col min="12808" max="12808" width="9.42578125" style="18" customWidth="1"/>
    <col min="12809" max="13057" width="11.42578125" style="18" customWidth="1"/>
    <col min="13058" max="13058" width="44.7109375" style="18" customWidth="1"/>
    <col min="13059" max="13059" width="15.5703125" style="18" customWidth="1"/>
    <col min="13060" max="13060" width="12.5703125" style="18" customWidth="1"/>
    <col min="13061" max="13062" width="10.85546875" style="18" customWidth="1"/>
    <col min="13063" max="13063" width="9.7109375" style="18" customWidth="1"/>
    <col min="13064" max="13064" width="9.42578125" style="18" customWidth="1"/>
    <col min="13065" max="13313" width="11.42578125" style="18" customWidth="1"/>
    <col min="13314" max="13314" width="44.7109375" style="18" customWidth="1"/>
    <col min="13315" max="13315" width="15.5703125" style="18" customWidth="1"/>
    <col min="13316" max="13316" width="12.5703125" style="18" customWidth="1"/>
    <col min="13317" max="13318" width="10.85546875" style="18" customWidth="1"/>
    <col min="13319" max="13319" width="9.7109375" style="18" customWidth="1"/>
    <col min="13320" max="13320" width="9.42578125" style="18" customWidth="1"/>
    <col min="13321" max="13569" width="11.42578125" style="18" customWidth="1"/>
    <col min="13570" max="13570" width="44.7109375" style="18" customWidth="1"/>
    <col min="13571" max="13571" width="15.5703125" style="18" customWidth="1"/>
    <col min="13572" max="13572" width="12.5703125" style="18" customWidth="1"/>
    <col min="13573" max="13574" width="10.85546875" style="18" customWidth="1"/>
    <col min="13575" max="13575" width="9.7109375" style="18" customWidth="1"/>
    <col min="13576" max="13576" width="9.42578125" style="18" customWidth="1"/>
    <col min="13577" max="13825" width="11.42578125" style="18" customWidth="1"/>
    <col min="13826" max="13826" width="44.7109375" style="18" customWidth="1"/>
    <col min="13827" max="13827" width="15.5703125" style="18" customWidth="1"/>
    <col min="13828" max="13828" width="12.5703125" style="18" customWidth="1"/>
    <col min="13829" max="13830" width="10.85546875" style="18" customWidth="1"/>
    <col min="13831" max="13831" width="9.7109375" style="18" customWidth="1"/>
    <col min="13832" max="13832" width="9.42578125" style="18" customWidth="1"/>
    <col min="13833" max="14081" width="11.42578125" style="18" customWidth="1"/>
    <col min="14082" max="14082" width="44.7109375" style="18" customWidth="1"/>
    <col min="14083" max="14083" width="15.5703125" style="18" customWidth="1"/>
    <col min="14084" max="14084" width="12.5703125" style="18" customWidth="1"/>
    <col min="14085" max="14086" width="10.85546875" style="18" customWidth="1"/>
    <col min="14087" max="14087" width="9.7109375" style="18" customWidth="1"/>
    <col min="14088" max="14088" width="9.42578125" style="18" customWidth="1"/>
    <col min="14089" max="14337" width="11.42578125" style="18" customWidth="1"/>
    <col min="14338" max="14338" width="44.7109375" style="18" customWidth="1"/>
    <col min="14339" max="14339" width="15.5703125" style="18" customWidth="1"/>
    <col min="14340" max="14340" width="12.5703125" style="18" customWidth="1"/>
    <col min="14341" max="14342" width="10.85546875" style="18" customWidth="1"/>
    <col min="14343" max="14343" width="9.7109375" style="18" customWidth="1"/>
    <col min="14344" max="14344" width="9.42578125" style="18" customWidth="1"/>
    <col min="14345" max="14593" width="11.42578125" style="18" customWidth="1"/>
    <col min="14594" max="14594" width="44.7109375" style="18" customWidth="1"/>
    <col min="14595" max="14595" width="15.5703125" style="18" customWidth="1"/>
    <col min="14596" max="14596" width="12.5703125" style="18" customWidth="1"/>
    <col min="14597" max="14598" width="10.85546875" style="18" customWidth="1"/>
    <col min="14599" max="14599" width="9.7109375" style="18" customWidth="1"/>
    <col min="14600" max="14600" width="9.42578125" style="18" customWidth="1"/>
    <col min="14601" max="14849" width="11.42578125" style="18" customWidth="1"/>
    <col min="14850" max="14850" width="44.7109375" style="18" customWidth="1"/>
    <col min="14851" max="14851" width="15.5703125" style="18" customWidth="1"/>
    <col min="14852" max="14852" width="12.5703125" style="18" customWidth="1"/>
    <col min="14853" max="14854" width="10.85546875" style="18" customWidth="1"/>
    <col min="14855" max="14855" width="9.7109375" style="18" customWidth="1"/>
    <col min="14856" max="14856" width="9.42578125" style="18" customWidth="1"/>
    <col min="14857" max="15105" width="11.42578125" style="18" customWidth="1"/>
    <col min="15106" max="15106" width="44.7109375" style="18" customWidth="1"/>
    <col min="15107" max="15107" width="15.5703125" style="18" customWidth="1"/>
    <col min="15108" max="15108" width="12.5703125" style="18" customWidth="1"/>
    <col min="15109" max="15110" width="10.85546875" style="18" customWidth="1"/>
    <col min="15111" max="15111" width="9.7109375" style="18" customWidth="1"/>
    <col min="15112" max="15112" width="9.42578125" style="18" customWidth="1"/>
    <col min="15113" max="15361" width="11.42578125" style="18" customWidth="1"/>
    <col min="15362" max="15362" width="44.7109375" style="18" customWidth="1"/>
    <col min="15363" max="15363" width="15.5703125" style="18" customWidth="1"/>
    <col min="15364" max="15364" width="12.5703125" style="18" customWidth="1"/>
    <col min="15365" max="15366" width="10.85546875" style="18" customWidth="1"/>
    <col min="15367" max="15367" width="9.7109375" style="18" customWidth="1"/>
    <col min="15368" max="15368" width="9.42578125" style="18" customWidth="1"/>
    <col min="15369" max="15617" width="11.42578125" style="18" customWidth="1"/>
    <col min="15618" max="15618" width="44.7109375" style="18" customWidth="1"/>
    <col min="15619" max="15619" width="15.5703125" style="18" customWidth="1"/>
    <col min="15620" max="15620" width="12.5703125" style="18" customWidth="1"/>
    <col min="15621" max="15622" width="10.85546875" style="18" customWidth="1"/>
    <col min="15623" max="15623" width="9.7109375" style="18" customWidth="1"/>
    <col min="15624" max="15624" width="9.42578125" style="18" customWidth="1"/>
    <col min="15625" max="15873" width="11.42578125" style="18" customWidth="1"/>
    <col min="15874" max="15874" width="44.7109375" style="18" customWidth="1"/>
    <col min="15875" max="15875" width="15.5703125" style="18" customWidth="1"/>
    <col min="15876" max="15876" width="12.5703125" style="18" customWidth="1"/>
    <col min="15877" max="15878" width="10.85546875" style="18" customWidth="1"/>
    <col min="15879" max="15879" width="9.7109375" style="18" customWidth="1"/>
    <col min="15880" max="15880" width="9.42578125" style="18" customWidth="1"/>
    <col min="15881" max="16129" width="11.42578125" style="18" customWidth="1"/>
    <col min="16130" max="16130" width="44.7109375" style="18" customWidth="1"/>
    <col min="16131" max="16131" width="15.5703125" style="18" customWidth="1"/>
    <col min="16132" max="16132" width="12.5703125" style="18" customWidth="1"/>
    <col min="16133" max="16134" width="10.85546875" style="18" customWidth="1"/>
    <col min="16135" max="16135" width="9.7109375" style="18" customWidth="1"/>
    <col min="16136" max="16136" width="9.42578125" style="18" customWidth="1"/>
    <col min="16137" max="16384" width="11.42578125" style="18" customWidth="1"/>
  </cols>
  <sheetData>
    <row r="1" spans="2:6" ht="15" customHeight="1">
      <c r="B1" s="494" t="s">
        <v>1</v>
      </c>
      <c r="C1" s="487"/>
    </row>
    <row r="2" spans="2:6" ht="15" customHeight="1">
      <c r="B2" s="20"/>
      <c r="C2" s="21"/>
    </row>
    <row r="3" spans="2:6" ht="15" customHeight="1">
      <c r="B3" s="494" t="str">
        <f>RESULTADOS!B2</f>
        <v>Proyecto de Vivienda de Interes Social URIN CHILLO LOTE "A"</v>
      </c>
      <c r="C3" s="487"/>
    </row>
    <row r="5" spans="2:6" ht="15" customHeight="1">
      <c r="B5" s="243" t="s">
        <v>56</v>
      </c>
      <c r="C5" s="260">
        <f>+RESULTADOS!B6</f>
        <v>-5422937.6215764889</v>
      </c>
      <c r="D5" s="261"/>
    </row>
    <row r="6" spans="2:6" ht="15" customHeight="1">
      <c r="B6" s="243" t="s">
        <v>57</v>
      </c>
      <c r="C6" s="262">
        <f>+'PRESUPUESTO GENERAL'!H54/'PRESUPUESTO GENERAL'!F10</f>
        <v>760.14959568161782</v>
      </c>
      <c r="D6" s="261"/>
    </row>
    <row r="7" spans="2:6" ht="15" customHeight="1">
      <c r="B7" s="243" t="s">
        <v>58</v>
      </c>
      <c r="C7" s="263">
        <f>'FLUJO DE INGRESOS'!C8</f>
        <v>16</v>
      </c>
      <c r="D7" s="261"/>
      <c r="E7" s="261"/>
      <c r="F7" s="261"/>
    </row>
    <row r="8" spans="2:6" ht="15" customHeight="1">
      <c r="B8" s="243" t="s">
        <v>59</v>
      </c>
      <c r="C8" s="263">
        <f>'FLUJO DE INGRESOS'!C9</f>
        <v>36</v>
      </c>
      <c r="D8" s="261"/>
      <c r="E8" s="261"/>
      <c r="F8" s="261"/>
    </row>
    <row r="9" spans="2:6" ht="15" customHeight="1">
      <c r="B9" s="243" t="s">
        <v>60</v>
      </c>
      <c r="C9" s="263">
        <f>'FLUJO DE INGRESOS'!C10</f>
        <v>48</v>
      </c>
      <c r="D9" s="261"/>
      <c r="E9" s="261"/>
      <c r="F9" s="261"/>
    </row>
    <row r="10" spans="2:6" ht="15" customHeight="1">
      <c r="B10" s="243" t="s">
        <v>61</v>
      </c>
      <c r="C10" s="264">
        <v>0</v>
      </c>
      <c r="D10" s="261"/>
      <c r="E10" s="261"/>
      <c r="F10" s="261"/>
    </row>
    <row r="11" spans="2:6" ht="15" customHeight="1">
      <c r="B11" s="243" t="s">
        <v>62</v>
      </c>
      <c r="C11" s="265">
        <f>'FLUJO DE INGRESOS'!E8</f>
        <v>53.519999999999989</v>
      </c>
      <c r="D11" s="261"/>
      <c r="E11" s="261"/>
      <c r="F11" s="261"/>
    </row>
    <row r="12" spans="2:6" ht="15" customHeight="1">
      <c r="B12" s="243" t="s">
        <v>63</v>
      </c>
      <c r="C12" s="265">
        <f>'FLUJO DE INGRESOS'!E9</f>
        <v>75.09</v>
      </c>
      <c r="D12" s="261"/>
      <c r="E12" s="261"/>
      <c r="F12" s="261"/>
    </row>
    <row r="13" spans="2:6" ht="15" customHeight="1">
      <c r="B13" s="243" t="s">
        <v>64</v>
      </c>
      <c r="C13" s="265">
        <f>'FLUJO DE INGRESOS'!E10</f>
        <v>64.610000000000014</v>
      </c>
      <c r="D13" s="261"/>
      <c r="E13" s="261"/>
      <c r="F13" s="261"/>
    </row>
    <row r="14" spans="2:6" ht="15" customHeight="1">
      <c r="B14" s="243" t="s">
        <v>65</v>
      </c>
      <c r="C14" s="266">
        <f>(C7*C11)+(C8*C12)+(C9*C13)</f>
        <v>6660.84</v>
      </c>
      <c r="D14" s="261"/>
      <c r="E14" s="267"/>
      <c r="F14" s="261"/>
    </row>
    <row r="15" spans="2:6" ht="13.5" customHeight="1">
      <c r="C15" s="268"/>
      <c r="D15" s="261"/>
      <c r="E15" s="261"/>
      <c r="F15" s="261"/>
    </row>
    <row r="16" spans="2:6" ht="15" customHeight="1">
      <c r="B16" s="243" t="s">
        <v>66</v>
      </c>
      <c r="C16" s="269">
        <f>+'PRESUPUESTO GENERAL'!F6</f>
        <v>12032.92</v>
      </c>
      <c r="D16" s="261"/>
      <c r="E16" s="267"/>
      <c r="F16" s="261"/>
    </row>
    <row r="17" spans="2:11" ht="13.5" customHeight="1">
      <c r="C17" s="268"/>
      <c r="D17" s="261"/>
      <c r="E17" s="261"/>
      <c r="F17" s="267"/>
    </row>
    <row r="18" spans="2:11" ht="15" customHeight="1">
      <c r="B18" s="243" t="s">
        <v>67</v>
      </c>
      <c r="C18" s="270">
        <f>'FLUJO DE INGRESOS'!D12</f>
        <v>990.64</v>
      </c>
      <c r="D18" s="261"/>
      <c r="E18" s="261"/>
      <c r="K18" s="22"/>
    </row>
    <row r="19" spans="2:11" ht="15" customHeight="1">
      <c r="B19" s="243" t="s">
        <v>68</v>
      </c>
      <c r="C19" s="271">
        <f>'FLUJO DE INGRESOS'!F12</f>
        <v>70810.525520000025</v>
      </c>
      <c r="D19" s="261"/>
      <c r="F19" s="272"/>
      <c r="J19" s="22"/>
      <c r="K19" s="22"/>
    </row>
    <row r="20" spans="2:11" ht="15" customHeight="1">
      <c r="B20" s="243" t="s">
        <v>69</v>
      </c>
      <c r="C20" s="273">
        <v>0</v>
      </c>
      <c r="D20" s="261"/>
      <c r="F20" s="272"/>
      <c r="J20" s="23"/>
      <c r="K20" s="23"/>
    </row>
    <row r="21" spans="2:11" ht="15" customHeight="1">
      <c r="B21" s="243" t="s">
        <v>70</v>
      </c>
      <c r="C21" s="271">
        <f>-C5/(C7+C8+C9)</f>
        <v>54229.376215764889</v>
      </c>
      <c r="D21" s="261"/>
      <c r="F21" s="274"/>
    </row>
    <row r="22" spans="2:11" ht="15" hidden="1" customHeight="1">
      <c r="B22" s="243" t="s">
        <v>71</v>
      </c>
      <c r="C22" s="271">
        <v>0</v>
      </c>
      <c r="D22" s="261"/>
      <c r="F22" s="274"/>
    </row>
    <row r="23" spans="2:11" ht="15" hidden="1" customHeight="1">
      <c r="B23" s="243" t="s">
        <v>72</v>
      </c>
      <c r="C23" s="271">
        <v>0</v>
      </c>
      <c r="D23" s="261"/>
      <c r="F23" s="274"/>
    </row>
    <row r="24" spans="2:11" ht="15" customHeight="1">
      <c r="B24" s="243" t="s">
        <v>73</v>
      </c>
      <c r="C24" s="275">
        <f>C19-C21</f>
        <v>16581.149304235136</v>
      </c>
      <c r="D24" s="261"/>
      <c r="E24" s="261"/>
      <c r="F24" s="24"/>
    </row>
    <row r="25" spans="2:11" ht="15" customHeight="1">
      <c r="B25" s="243" t="s">
        <v>74</v>
      </c>
      <c r="C25" s="275">
        <f>C24*(C7+C8+C9)</f>
        <v>1658114.9304235135</v>
      </c>
      <c r="D25" s="261"/>
      <c r="E25" s="261"/>
      <c r="F25" s="24"/>
    </row>
    <row r="26" spans="2:11" ht="13.5" customHeight="1">
      <c r="C26" s="276"/>
      <c r="D26" s="261"/>
      <c r="E26" s="261"/>
      <c r="F26" s="24"/>
    </row>
    <row r="27" spans="2:11" ht="15" customHeight="1">
      <c r="B27" s="243" t="s">
        <v>75</v>
      </c>
      <c r="C27" s="277">
        <v>20</v>
      </c>
      <c r="D27" s="261"/>
      <c r="E27" s="261"/>
      <c r="F27" s="24"/>
    </row>
    <row r="28" spans="2:11" ht="15" customHeight="1">
      <c r="B28" s="243" t="s">
        <v>76</v>
      </c>
      <c r="C28" s="271">
        <f>+RESULTADOS!B20</f>
        <v>1825701.7915000001</v>
      </c>
      <c r="D28" s="261"/>
      <c r="E28" s="261"/>
      <c r="F28" s="24"/>
    </row>
    <row r="29" spans="2:11" ht="15" customHeight="1">
      <c r="B29" s="243"/>
      <c r="C29" s="277"/>
      <c r="D29" s="261"/>
      <c r="E29" s="261"/>
      <c r="F29" s="24"/>
    </row>
    <row r="30" spans="2:11" ht="13.5" customHeight="1">
      <c r="C30" s="278"/>
      <c r="D30" s="261"/>
      <c r="E30" s="261"/>
      <c r="F30" s="24"/>
    </row>
    <row r="31" spans="2:11" ht="15" customHeight="1">
      <c r="B31" s="243" t="s">
        <v>77</v>
      </c>
      <c r="C31" s="25">
        <f>C25/-C5</f>
        <v>0.30575954328264743</v>
      </c>
      <c r="D31" s="261"/>
      <c r="E31" s="261"/>
      <c r="F31" s="279"/>
    </row>
    <row r="32" spans="2:11" ht="15" customHeight="1">
      <c r="B32" s="243" t="s">
        <v>78</v>
      </c>
      <c r="C32" s="25">
        <f>C24/C19</f>
        <v>0.23416221222015765</v>
      </c>
      <c r="D32" s="261"/>
      <c r="E32" s="261"/>
      <c r="F32" s="279"/>
    </row>
    <row r="33" spans="2:6" ht="15" customHeight="1">
      <c r="B33" s="243" t="s">
        <v>79</v>
      </c>
      <c r="C33" s="25">
        <f>C25/C28</f>
        <v>0.90820688139940042</v>
      </c>
      <c r="D33" s="261"/>
      <c r="E33" s="261"/>
      <c r="F33" s="279"/>
    </row>
    <row r="34" spans="2:6" ht="13.5" customHeight="1">
      <c r="C34" s="268"/>
      <c r="D34" s="261"/>
      <c r="E34" s="261"/>
      <c r="F34" s="279"/>
    </row>
  </sheetData>
  <mergeCells count="2">
    <mergeCell ref="B1:C1"/>
    <mergeCell ref="B3:C3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53735"/>
    <pageSetUpPr fitToPage="1"/>
  </sheetPr>
  <dimension ref="A1:P185"/>
  <sheetViews>
    <sheetView showZeros="0" zoomScaleNormal="100" workbookViewId="0">
      <selection sqref="A1:I1"/>
    </sheetView>
  </sheetViews>
  <sheetFormatPr baseColWidth="10" defaultColWidth="11.42578125" defaultRowHeight="14.25" customHeight="1" outlineLevelRow="1"/>
  <cols>
    <col min="1" max="1" width="24" style="26" customWidth="1"/>
    <col min="2" max="3" width="10.7109375" style="26" customWidth="1"/>
    <col min="4" max="4" width="20.140625" style="26" customWidth="1"/>
    <col min="5" max="5" width="14.7109375" style="26" customWidth="1"/>
    <col min="6" max="6" width="13.5703125" style="26" customWidth="1"/>
    <col min="7" max="7" width="14.140625" style="26" customWidth="1"/>
    <col min="8" max="9" width="13.5703125" style="26" customWidth="1"/>
    <col min="10" max="10" width="16.42578125" style="27" customWidth="1"/>
    <col min="11" max="11" width="16.140625" style="26" bestFit="1" customWidth="1"/>
    <col min="12" max="12" width="15.140625" style="26" customWidth="1"/>
    <col min="13" max="13" width="17.5703125" style="26" customWidth="1"/>
    <col min="14" max="14" width="24.7109375" style="280" customWidth="1"/>
    <col min="15" max="15" width="12.5703125" style="26" customWidth="1"/>
    <col min="16" max="16" width="14.140625" style="26" customWidth="1"/>
    <col min="17" max="17" width="11.42578125" style="26" customWidth="1"/>
    <col min="18" max="16384" width="11.42578125" style="26"/>
  </cols>
  <sheetData>
    <row r="1" spans="1:16" ht="15.75" customHeight="1">
      <c r="A1" s="529" t="s">
        <v>3</v>
      </c>
      <c r="B1" s="486"/>
      <c r="C1" s="486"/>
      <c r="D1" s="486"/>
      <c r="E1" s="486"/>
      <c r="F1" s="486"/>
      <c r="G1" s="486"/>
      <c r="H1" s="486"/>
      <c r="I1" s="487"/>
    </row>
    <row r="2" spans="1:16" ht="14.25" customHeight="1">
      <c r="A2" s="28"/>
      <c r="B2" s="28"/>
      <c r="C2" s="28"/>
      <c r="D2" s="28"/>
      <c r="E2" s="28"/>
      <c r="F2" s="28"/>
      <c r="G2" s="28"/>
      <c r="H2" s="28"/>
      <c r="I2" s="28"/>
    </row>
    <row r="3" spans="1:16" ht="15.75" customHeight="1">
      <c r="A3" s="529" t="str">
        <f>RESULTADOS!B2</f>
        <v>Proyecto de Vivienda de Interes Social URIN CHILLO LOTE "A"</v>
      </c>
      <c r="B3" s="486"/>
      <c r="C3" s="486"/>
      <c r="D3" s="486"/>
      <c r="E3" s="486"/>
      <c r="F3" s="486"/>
      <c r="G3" s="486"/>
      <c r="H3" s="486"/>
      <c r="I3" s="487"/>
      <c r="L3" s="281"/>
    </row>
    <row r="4" spans="1:16" ht="14.25" customHeight="1">
      <c r="A4" s="28"/>
      <c r="B4" s="28"/>
      <c r="C4" s="28"/>
      <c r="D4" s="28"/>
      <c r="E4" s="28"/>
      <c r="F4" s="28"/>
      <c r="G4" s="28"/>
      <c r="H4" s="28"/>
      <c r="I4" s="28"/>
    </row>
    <row r="5" spans="1:16" ht="25.5" customHeight="1">
      <c r="A5" s="233" t="s">
        <v>80</v>
      </c>
      <c r="B5" s="532" t="s">
        <v>81</v>
      </c>
      <c r="C5" s="486"/>
      <c r="D5" s="487"/>
      <c r="E5" s="233" t="s">
        <v>82</v>
      </c>
      <c r="F5" s="233" t="s">
        <v>83</v>
      </c>
      <c r="G5" s="233" t="s">
        <v>84</v>
      </c>
      <c r="H5" s="233" t="s">
        <v>85</v>
      </c>
      <c r="I5" s="233" t="s">
        <v>86</v>
      </c>
    </row>
    <row r="6" spans="1:16" ht="14.25" customHeight="1">
      <c r="A6" s="234">
        <v>1</v>
      </c>
      <c r="B6" s="538" t="s">
        <v>87</v>
      </c>
      <c r="C6" s="486"/>
      <c r="D6" s="487"/>
      <c r="E6" s="234" t="s">
        <v>88</v>
      </c>
      <c r="F6" s="282">
        <v>12032.92</v>
      </c>
      <c r="G6" s="29">
        <v>38.091203999999998</v>
      </c>
      <c r="H6" s="282">
        <f>ROUND(G6*F6,2)</f>
        <v>458348.41</v>
      </c>
      <c r="I6" s="30">
        <f>+H6/$H$54</f>
        <v>8.4520317581442989E-2</v>
      </c>
      <c r="K6" s="280"/>
      <c r="L6" s="280"/>
      <c r="N6" s="283"/>
      <c r="O6" s="31"/>
      <c r="P6" s="283"/>
    </row>
    <row r="7" spans="1:16" ht="14.25" customHeight="1">
      <c r="A7" s="28"/>
      <c r="B7" s="28"/>
      <c r="C7" s="28"/>
      <c r="D7" s="28"/>
      <c r="E7" s="28"/>
      <c r="F7" s="28"/>
      <c r="G7" s="28"/>
      <c r="H7" s="28"/>
      <c r="I7" s="28"/>
      <c r="K7" s="284"/>
      <c r="L7" s="280"/>
    </row>
    <row r="8" spans="1:16" ht="26.25" customHeight="1">
      <c r="A8" s="235">
        <v>2</v>
      </c>
      <c r="B8" s="548" t="s">
        <v>89</v>
      </c>
      <c r="C8" s="535"/>
      <c r="D8" s="505"/>
      <c r="E8" s="235" t="s">
        <v>90</v>
      </c>
      <c r="F8" s="235" t="s">
        <v>83</v>
      </c>
      <c r="G8" s="235" t="s">
        <v>84</v>
      </c>
      <c r="H8" s="285">
        <f>+SUM(H9:H10,H14:H18,H19:H20)</f>
        <v>3908554.04</v>
      </c>
      <c r="I8" s="32">
        <f>H8/H54</f>
        <v>0.72074479050779749</v>
      </c>
    </row>
    <row r="9" spans="1:16" ht="15" customHeight="1">
      <c r="A9" s="33" t="s">
        <v>91</v>
      </c>
      <c r="B9" s="550" t="s">
        <v>45</v>
      </c>
      <c r="C9" s="545"/>
      <c r="D9" s="546"/>
      <c r="E9" s="286" t="s">
        <v>88</v>
      </c>
      <c r="F9" s="286">
        <v>2112.06</v>
      </c>
      <c r="G9" s="287">
        <f t="shared" ref="G9:G14" si="0">+H9/F9</f>
        <v>74.697915778907799</v>
      </c>
      <c r="H9" s="286">
        <v>157766.48000000001</v>
      </c>
      <c r="I9" s="34">
        <f t="shared" ref="I9:I20" si="1">+H9/$H$54</f>
        <v>2.9092438639214166E-2</v>
      </c>
      <c r="O9" s="288"/>
    </row>
    <row r="10" spans="1:16" ht="15" customHeight="1">
      <c r="A10" s="35" t="s">
        <v>92</v>
      </c>
      <c r="B10" s="531" t="s">
        <v>93</v>
      </c>
      <c r="C10" s="486"/>
      <c r="D10" s="487"/>
      <c r="E10" s="289" t="s">
        <v>88</v>
      </c>
      <c r="F10" s="289">
        <v>7134.04</v>
      </c>
      <c r="G10" s="290">
        <f t="shared" si="0"/>
        <v>359.29179959742311</v>
      </c>
      <c r="H10" s="291">
        <f>SUM(H11:H13)</f>
        <v>2563202.0700000003</v>
      </c>
      <c r="I10" s="36">
        <f t="shared" si="1"/>
        <v>0.47265933131918603</v>
      </c>
    </row>
    <row r="11" spans="1:16" ht="15" customHeight="1">
      <c r="A11" s="35" t="s">
        <v>94</v>
      </c>
      <c r="B11" s="531" t="s">
        <v>95</v>
      </c>
      <c r="C11" s="486"/>
      <c r="D11" s="487"/>
      <c r="E11" s="289" t="s">
        <v>88</v>
      </c>
      <c r="F11" s="289">
        <v>1001.28</v>
      </c>
      <c r="G11" s="290">
        <f t="shared" si="0"/>
        <v>382.98613774368806</v>
      </c>
      <c r="H11" s="289">
        <v>383476.36</v>
      </c>
      <c r="I11" s="36">
        <f t="shared" si="1"/>
        <v>7.07137693183571E-2</v>
      </c>
      <c r="J11" s="292"/>
    </row>
    <row r="12" spans="1:16" ht="15" customHeight="1">
      <c r="A12" s="35" t="s">
        <v>96</v>
      </c>
      <c r="B12" s="531" t="s">
        <v>97</v>
      </c>
      <c r="C12" s="486"/>
      <c r="D12" s="487"/>
      <c r="E12" s="289" t="s">
        <v>88</v>
      </c>
      <c r="F12" s="289">
        <v>3029.4</v>
      </c>
      <c r="G12" s="290">
        <f t="shared" si="0"/>
        <v>398.40751303888555</v>
      </c>
      <c r="H12" s="289">
        <v>1206935.72</v>
      </c>
      <c r="I12" s="36">
        <f t="shared" si="1"/>
        <v>0.22256123972326547</v>
      </c>
      <c r="J12" s="292"/>
    </row>
    <row r="13" spans="1:16" ht="15" customHeight="1">
      <c r="A13" s="35" t="s">
        <v>98</v>
      </c>
      <c r="B13" s="531" t="s">
        <v>99</v>
      </c>
      <c r="C13" s="486"/>
      <c r="D13" s="487"/>
      <c r="E13" s="289" t="s">
        <v>88</v>
      </c>
      <c r="F13" s="289">
        <v>3072</v>
      </c>
      <c r="G13" s="290">
        <f t="shared" si="0"/>
        <v>316.66340820312502</v>
      </c>
      <c r="H13" s="289">
        <v>972789.99</v>
      </c>
      <c r="I13" s="36">
        <f t="shared" si="1"/>
        <v>0.1793843222775634</v>
      </c>
      <c r="J13" s="292"/>
    </row>
    <row r="14" spans="1:16" ht="15" customHeight="1">
      <c r="A14" s="35" t="s">
        <v>100</v>
      </c>
      <c r="B14" s="531" t="s">
        <v>46</v>
      </c>
      <c r="C14" s="486"/>
      <c r="D14" s="487"/>
      <c r="E14" s="289" t="s">
        <v>88</v>
      </c>
      <c r="F14" s="289">
        <v>179.78</v>
      </c>
      <c r="G14" s="290">
        <f t="shared" si="0"/>
        <v>831.34970519523858</v>
      </c>
      <c r="H14" s="289">
        <v>149460.04999999999</v>
      </c>
      <c r="I14" s="36">
        <f t="shared" si="1"/>
        <v>2.7560717166529167E-2</v>
      </c>
    </row>
    <row r="15" spans="1:16" ht="15" customHeight="1">
      <c r="A15" s="35" t="s">
        <v>101</v>
      </c>
      <c r="B15" s="531" t="s">
        <v>102</v>
      </c>
      <c r="C15" s="486"/>
      <c r="D15" s="487"/>
      <c r="E15" s="289" t="s">
        <v>103</v>
      </c>
      <c r="F15" s="289"/>
      <c r="G15" s="290"/>
      <c r="H15" s="289">
        <v>164547.59</v>
      </c>
      <c r="I15" s="36">
        <f t="shared" si="1"/>
        <v>3.034288820607248E-2</v>
      </c>
    </row>
    <row r="16" spans="1:16" ht="15" customHeight="1">
      <c r="A16" s="35" t="s">
        <v>104</v>
      </c>
      <c r="B16" s="531" t="s">
        <v>105</v>
      </c>
      <c r="C16" s="486"/>
      <c r="D16" s="487"/>
      <c r="E16" s="289" t="s">
        <v>103</v>
      </c>
      <c r="F16" s="289"/>
      <c r="G16" s="290"/>
      <c r="H16" s="289">
        <v>100463.91</v>
      </c>
      <c r="I16" s="36">
        <f t="shared" si="1"/>
        <v>1.8525735866899828E-2</v>
      </c>
    </row>
    <row r="17" spans="1:15" ht="15" customHeight="1">
      <c r="A17" s="35" t="s">
        <v>106</v>
      </c>
      <c r="B17" s="531" t="s">
        <v>107</v>
      </c>
      <c r="C17" s="486"/>
      <c r="D17" s="487"/>
      <c r="E17" s="289" t="s">
        <v>103</v>
      </c>
      <c r="F17" s="289"/>
      <c r="G17" s="290"/>
      <c r="H17" s="289">
        <v>58513.94</v>
      </c>
      <c r="I17" s="36">
        <f t="shared" si="1"/>
        <v>1.0790081701693916E-2</v>
      </c>
    </row>
    <row r="18" spans="1:15" ht="15" customHeight="1">
      <c r="A18" s="35" t="s">
        <v>108</v>
      </c>
      <c r="B18" s="531" t="s">
        <v>50</v>
      </c>
      <c r="C18" s="486"/>
      <c r="D18" s="487"/>
      <c r="E18" s="289" t="s">
        <v>88</v>
      </c>
      <c r="F18" s="289">
        <v>5912</v>
      </c>
      <c r="G18" s="290">
        <f>H18/F18</f>
        <v>7.2638210419485789</v>
      </c>
      <c r="H18" s="289">
        <v>42943.71</v>
      </c>
      <c r="I18" s="36">
        <f t="shared" si="1"/>
        <v>7.9189017091286281E-3</v>
      </c>
      <c r="O18" s="280"/>
    </row>
    <row r="19" spans="1:15" ht="15" customHeight="1">
      <c r="A19" s="35" t="s">
        <v>109</v>
      </c>
      <c r="B19" s="531" t="s">
        <v>110</v>
      </c>
      <c r="C19" s="486"/>
      <c r="D19" s="487"/>
      <c r="E19" s="289" t="s">
        <v>17</v>
      </c>
      <c r="F19" s="37">
        <v>0.05</v>
      </c>
      <c r="G19" s="290">
        <f>SUM(H9,H10,H14:H18)</f>
        <v>3236897.75</v>
      </c>
      <c r="H19" s="289">
        <f>ROUND(G19*F19,2)</f>
        <v>161844.89000000001</v>
      </c>
      <c r="I19" s="36">
        <f t="shared" si="1"/>
        <v>2.9844505191440961E-2</v>
      </c>
    </row>
    <row r="20" spans="1:15" ht="14.25" customHeight="1">
      <c r="A20" s="38" t="s">
        <v>111</v>
      </c>
      <c r="B20" s="539" t="s">
        <v>112</v>
      </c>
      <c r="C20" s="540"/>
      <c r="D20" s="541"/>
      <c r="E20" s="293" t="s">
        <v>17</v>
      </c>
      <c r="F20" s="39">
        <v>0.15</v>
      </c>
      <c r="G20" s="294">
        <f>+G19+H19</f>
        <v>3398742.64</v>
      </c>
      <c r="H20" s="293">
        <f>ROUND(G20*F20,2)</f>
        <v>509811.4</v>
      </c>
      <c r="I20" s="40">
        <f t="shared" si="1"/>
        <v>9.4010190707632363E-2</v>
      </c>
    </row>
    <row r="21" spans="1:15" ht="14.25" customHeight="1">
      <c r="A21" s="28"/>
      <c r="B21" s="28"/>
      <c r="C21" s="28"/>
      <c r="D21" s="28"/>
      <c r="E21" s="28"/>
      <c r="F21" s="28"/>
      <c r="G21" s="28"/>
      <c r="H21" s="28"/>
      <c r="I21" s="28"/>
    </row>
    <row r="22" spans="1:15" ht="14.25" customHeight="1">
      <c r="A22" s="237">
        <v>3</v>
      </c>
      <c r="B22" s="534" t="s">
        <v>113</v>
      </c>
      <c r="C22" s="535"/>
      <c r="D22" s="505"/>
      <c r="E22" s="237" t="s">
        <v>114</v>
      </c>
      <c r="F22" s="295" t="s">
        <v>114</v>
      </c>
      <c r="G22" s="41" t="s">
        <v>114</v>
      </c>
      <c r="H22" s="295">
        <f>+H23+H31+H42+H52+H53</f>
        <v>1056035.1715764888</v>
      </c>
      <c r="I22" s="42">
        <f>+I23+I31+I42+I51</f>
        <v>0.19473489191075954</v>
      </c>
    </row>
    <row r="23" spans="1:15" ht="14.25" customHeight="1">
      <c r="A23" s="43" t="s">
        <v>115</v>
      </c>
      <c r="B23" s="544" t="s">
        <v>116</v>
      </c>
      <c r="C23" s="545"/>
      <c r="D23" s="546"/>
      <c r="E23" s="238" t="s">
        <v>17</v>
      </c>
      <c r="F23" s="44"/>
      <c r="G23" s="296"/>
      <c r="H23" s="296">
        <f>+SUM(H24:H30)</f>
        <v>117910.85</v>
      </c>
      <c r="I23" s="45">
        <f>+SUM(I24:I30)</f>
        <v>2.1742984748867985E-2</v>
      </c>
    </row>
    <row r="24" spans="1:15" ht="14.25" customHeight="1">
      <c r="A24" s="46" t="s">
        <v>117</v>
      </c>
      <c r="B24" s="531" t="s">
        <v>118</v>
      </c>
      <c r="C24" s="486"/>
      <c r="D24" s="487"/>
      <c r="E24" s="236" t="s">
        <v>17</v>
      </c>
      <c r="F24" s="37">
        <v>2.6930892837290797E-2</v>
      </c>
      <c r="G24" s="289">
        <f>$H$8</f>
        <v>3908554.04</v>
      </c>
      <c r="H24" s="289">
        <f t="shared" ref="H24:H25" si="2">+F24*G24</f>
        <v>105260.85</v>
      </c>
      <c r="I24" s="36">
        <f>+H24/$H$54</f>
        <v>1.94103007162011E-2</v>
      </c>
    </row>
    <row r="25" spans="1:15" ht="14.25" customHeight="1">
      <c r="A25" s="47" t="s">
        <v>119</v>
      </c>
      <c r="B25" s="530" t="s">
        <v>120</v>
      </c>
      <c r="C25" s="486"/>
      <c r="D25" s="487"/>
      <c r="E25" s="236" t="s">
        <v>17</v>
      </c>
      <c r="F25" s="37">
        <v>3.236491006786745E-3</v>
      </c>
      <c r="G25" s="289">
        <f>$H$8</f>
        <v>3908554.04</v>
      </c>
      <c r="H25" s="289">
        <f t="shared" si="2"/>
        <v>12650</v>
      </c>
      <c r="I25" s="36">
        <f>+H25/$H$54</f>
        <v>2.3326840326668833E-3</v>
      </c>
      <c r="N25" s="26"/>
    </row>
    <row r="26" spans="1:15" ht="15" customHeight="1">
      <c r="A26" s="46" t="s">
        <v>121</v>
      </c>
      <c r="B26" s="530"/>
      <c r="C26" s="486"/>
      <c r="D26" s="487"/>
      <c r="E26" s="236" t="s">
        <v>17</v>
      </c>
      <c r="F26" s="37">
        <f>+H26/G26</f>
        <v>0</v>
      </c>
      <c r="G26" s="289">
        <f>$H$8</f>
        <v>3908554.04</v>
      </c>
      <c r="H26" s="289"/>
      <c r="I26" s="36">
        <f>+H26/$H$54</f>
        <v>0</v>
      </c>
      <c r="N26" s="26"/>
    </row>
    <row r="27" spans="1:15" ht="14.25" hidden="1" customHeight="1">
      <c r="A27" s="47" t="s">
        <v>123</v>
      </c>
      <c r="B27" s="530"/>
      <c r="C27" s="486"/>
      <c r="D27" s="487"/>
      <c r="E27" s="236"/>
      <c r="F27" s="37"/>
      <c r="G27" s="289"/>
      <c r="H27" s="289"/>
      <c r="I27" s="36"/>
      <c r="N27" s="26"/>
    </row>
    <row r="28" spans="1:15" ht="14.25" hidden="1" customHeight="1">
      <c r="A28" s="46" t="s">
        <v>124</v>
      </c>
      <c r="B28" s="530"/>
      <c r="C28" s="486"/>
      <c r="D28" s="487"/>
      <c r="E28" s="236"/>
      <c r="F28" s="37"/>
      <c r="G28" s="289"/>
      <c r="H28" s="289"/>
      <c r="I28" s="36"/>
      <c r="N28" s="26"/>
    </row>
    <row r="29" spans="1:15" ht="14.25" hidden="1" customHeight="1">
      <c r="A29" s="47" t="s">
        <v>125</v>
      </c>
      <c r="B29" s="530"/>
      <c r="C29" s="486"/>
      <c r="D29" s="487"/>
      <c r="E29" s="236"/>
      <c r="F29" s="37"/>
      <c r="G29" s="289"/>
      <c r="H29" s="289"/>
      <c r="I29" s="36"/>
      <c r="N29" s="26"/>
    </row>
    <row r="30" spans="1:15" ht="14.25" hidden="1" customHeight="1">
      <c r="A30" s="47" t="s">
        <v>126</v>
      </c>
      <c r="B30" s="530"/>
      <c r="C30" s="486"/>
      <c r="D30" s="487"/>
      <c r="E30" s="236"/>
      <c r="F30" s="37"/>
      <c r="G30" s="289"/>
      <c r="H30" s="289"/>
      <c r="I30" s="36"/>
      <c r="N30" s="26"/>
    </row>
    <row r="31" spans="1:15" ht="14.25" customHeight="1">
      <c r="A31" s="48" t="s">
        <v>127</v>
      </c>
      <c r="B31" s="533" t="s">
        <v>128</v>
      </c>
      <c r="C31" s="486"/>
      <c r="D31" s="487"/>
      <c r="E31" s="239" t="s">
        <v>17</v>
      </c>
      <c r="F31" s="49" t="s">
        <v>114</v>
      </c>
      <c r="G31" s="297" t="s">
        <v>114</v>
      </c>
      <c r="H31" s="297">
        <f>+SUM(H32:H41)</f>
        <v>192538.7009480338</v>
      </c>
      <c r="I31" s="50">
        <f>+SUM(I32:I41)</f>
        <v>3.5504502242838153E-2</v>
      </c>
    </row>
    <row r="32" spans="1:15" ht="14.25" customHeight="1">
      <c r="A32" s="46" t="s">
        <v>129</v>
      </c>
      <c r="B32" s="531" t="s">
        <v>130</v>
      </c>
      <c r="C32" s="486"/>
      <c r="D32" s="487"/>
      <c r="E32" s="236" t="s">
        <v>17</v>
      </c>
      <c r="F32" s="37">
        <v>3.0000000000000001E-3</v>
      </c>
      <c r="G32" s="289">
        <f t="shared" ref="G32:G41" si="3">$H$8</f>
        <v>3908554.04</v>
      </c>
      <c r="H32" s="289">
        <f>+F32*G32</f>
        <v>11725.662120000001</v>
      </c>
      <c r="I32" s="36">
        <f t="shared" ref="I32:I41" si="4">+H32/$H$54</f>
        <v>2.1622343715233926E-3</v>
      </c>
    </row>
    <row r="33" spans="1:16" ht="14.25" customHeight="1">
      <c r="A33" s="46" t="s">
        <v>131</v>
      </c>
      <c r="B33" s="531" t="s">
        <v>132</v>
      </c>
      <c r="C33" s="486"/>
      <c r="D33" s="487"/>
      <c r="E33" s="236" t="s">
        <v>133</v>
      </c>
      <c r="F33" s="37">
        <f t="shared" ref="F33:F38" si="5">+H33/G33</f>
        <v>0</v>
      </c>
      <c r="G33" s="289">
        <f t="shared" si="3"/>
        <v>3908554.04</v>
      </c>
      <c r="H33" s="289">
        <v>0</v>
      </c>
      <c r="I33" s="36">
        <f t="shared" si="4"/>
        <v>0</v>
      </c>
    </row>
    <row r="34" spans="1:16" ht="15" customHeight="1">
      <c r="A34" s="46" t="s">
        <v>134</v>
      </c>
      <c r="B34" s="531" t="s">
        <v>135</v>
      </c>
      <c r="C34" s="486"/>
      <c r="D34" s="487"/>
      <c r="E34" s="236" t="s">
        <v>133</v>
      </c>
      <c r="F34" s="37">
        <f t="shared" si="5"/>
        <v>0</v>
      </c>
      <c r="G34" s="289">
        <f t="shared" si="3"/>
        <v>3908554.04</v>
      </c>
      <c r="H34" s="289">
        <v>0</v>
      </c>
      <c r="I34" s="36">
        <f t="shared" si="4"/>
        <v>0</v>
      </c>
    </row>
    <row r="35" spans="1:16" ht="14.25" customHeight="1">
      <c r="A35" s="46" t="s">
        <v>136</v>
      </c>
      <c r="B35" s="531" t="s">
        <v>137</v>
      </c>
      <c r="C35" s="486"/>
      <c r="D35" s="487"/>
      <c r="E35" s="236" t="s">
        <v>17</v>
      </c>
      <c r="F35" s="37">
        <v>1.6E-2</v>
      </c>
      <c r="G35" s="289">
        <f t="shared" si="3"/>
        <v>3908554.04</v>
      </c>
      <c r="H35" s="289">
        <f>+F35*G35</f>
        <v>62536.86464</v>
      </c>
      <c r="I35" s="36">
        <f t="shared" si="4"/>
        <v>1.153191664812476E-2</v>
      </c>
    </row>
    <row r="36" spans="1:16" ht="14.25" customHeight="1">
      <c r="A36" s="46" t="s">
        <v>138</v>
      </c>
      <c r="B36" s="531" t="s">
        <v>139</v>
      </c>
      <c r="C36" s="486"/>
      <c r="D36" s="487"/>
      <c r="E36" s="236" t="s">
        <v>133</v>
      </c>
      <c r="F36" s="37">
        <v>2.482038088950153E-3</v>
      </c>
      <c r="G36" s="289">
        <f t="shared" si="3"/>
        <v>3908554.04</v>
      </c>
      <c r="H36" s="289">
        <f t="shared" ref="H36:H40" si="6">+F36*G36</f>
        <v>9701.18</v>
      </c>
      <c r="I36" s="36">
        <f t="shared" si="4"/>
        <v>1.7889160224527521E-3</v>
      </c>
      <c r="J36" s="481"/>
      <c r="K36" s="482"/>
    </row>
    <row r="37" spans="1:16" ht="13.5" customHeight="1">
      <c r="A37" s="46" t="s">
        <v>140</v>
      </c>
      <c r="B37" s="531" t="s">
        <v>141</v>
      </c>
      <c r="C37" s="486"/>
      <c r="D37" s="487"/>
      <c r="E37" s="236" t="s">
        <v>133</v>
      </c>
      <c r="F37" s="37">
        <v>2.5584909144559249E-2</v>
      </c>
      <c r="G37" s="289">
        <f t="shared" si="3"/>
        <v>3908554.04</v>
      </c>
      <c r="H37" s="289">
        <f t="shared" si="6"/>
        <v>100000</v>
      </c>
      <c r="I37" s="36">
        <f t="shared" si="4"/>
        <v>1.8440189981556387E-2</v>
      </c>
    </row>
    <row r="38" spans="1:16" ht="14.25" customHeight="1">
      <c r="A38" s="46" t="s">
        <v>142</v>
      </c>
      <c r="B38" s="531" t="s">
        <v>143</v>
      </c>
      <c r="C38" s="486"/>
      <c r="D38" s="487"/>
      <c r="E38" s="236" t="s">
        <v>133</v>
      </c>
      <c r="F38" s="37">
        <f t="shared" si="5"/>
        <v>0</v>
      </c>
      <c r="G38" s="289">
        <f t="shared" si="3"/>
        <v>3908554.04</v>
      </c>
      <c r="H38" s="289">
        <v>0</v>
      </c>
      <c r="I38" s="36">
        <f t="shared" si="4"/>
        <v>0</v>
      </c>
    </row>
    <row r="39" spans="1:16" ht="14.25" customHeight="1">
      <c r="A39" s="46" t="s">
        <v>144</v>
      </c>
      <c r="B39" s="531" t="s">
        <v>145</v>
      </c>
      <c r="C39" s="486"/>
      <c r="D39" s="487"/>
      <c r="E39" s="236" t="s">
        <v>17</v>
      </c>
      <c r="F39" s="37">
        <v>5.8809472159683895E-5</v>
      </c>
      <c r="G39" s="289">
        <f t="shared" si="3"/>
        <v>3908554.04</v>
      </c>
      <c r="H39" s="289">
        <f t="shared" si="6"/>
        <v>229.86</v>
      </c>
      <c r="I39" s="36">
        <f t="shared" si="4"/>
        <v>4.2386620691605518E-5</v>
      </c>
    </row>
    <row r="40" spans="1:16" ht="14.25" customHeight="1">
      <c r="A40" s="46" t="s">
        <v>146</v>
      </c>
      <c r="B40" s="531" t="s">
        <v>147</v>
      </c>
      <c r="C40" s="486"/>
      <c r="D40" s="487"/>
      <c r="E40" s="236" t="s">
        <v>17</v>
      </c>
      <c r="F40" s="37">
        <v>5.9999999999999995E-4</v>
      </c>
      <c r="G40" s="289">
        <f t="shared" si="3"/>
        <v>3908554.04</v>
      </c>
      <c r="H40" s="289">
        <f t="shared" si="6"/>
        <v>2345.1324239999999</v>
      </c>
      <c r="I40" s="36">
        <f t="shared" si="4"/>
        <v>4.3244687430467847E-4</v>
      </c>
    </row>
    <row r="41" spans="1:16" ht="14.25" customHeight="1">
      <c r="A41" s="46" t="s">
        <v>584</v>
      </c>
      <c r="B41" s="531" t="s">
        <v>122</v>
      </c>
      <c r="C41" s="486"/>
      <c r="D41" s="487"/>
      <c r="E41" s="236" t="s">
        <v>17</v>
      </c>
      <c r="F41" s="37">
        <v>1.535095E-3</v>
      </c>
      <c r="G41" s="289">
        <f t="shared" si="3"/>
        <v>3908554.04</v>
      </c>
      <c r="H41" s="289">
        <f>+G41*F41</f>
        <v>6000.0017640338001</v>
      </c>
      <c r="I41" s="36">
        <f t="shared" si="4"/>
        <v>1.1064117241845674E-3</v>
      </c>
    </row>
    <row r="42" spans="1:16" ht="15" customHeight="1">
      <c r="A42" s="48" t="s">
        <v>148</v>
      </c>
      <c r="B42" s="533" t="s">
        <v>149</v>
      </c>
      <c r="C42" s="486"/>
      <c r="D42" s="487"/>
      <c r="E42" s="239" t="s">
        <v>17</v>
      </c>
      <c r="F42" s="49" t="s">
        <v>114</v>
      </c>
      <c r="G42" s="297" t="s">
        <v>114</v>
      </c>
      <c r="H42" s="297">
        <f>+SUM(H43:H50)</f>
        <v>623286.30999999994</v>
      </c>
      <c r="I42" s="50">
        <f>+SUM(I43:I50)</f>
        <v>0.11493517969303249</v>
      </c>
      <c r="L42" s="51"/>
      <c r="O42" s="52"/>
      <c r="P42" s="298"/>
    </row>
    <row r="43" spans="1:16" ht="15" customHeight="1">
      <c r="A43" s="46" t="s">
        <v>150</v>
      </c>
      <c r="B43" s="531" t="s">
        <v>151</v>
      </c>
      <c r="C43" s="486"/>
      <c r="D43" s="487"/>
      <c r="E43" s="236" t="s">
        <v>17</v>
      </c>
      <c r="F43" s="37">
        <v>2E-3</v>
      </c>
      <c r="G43" s="289">
        <f>$H$8</f>
        <v>3908554.04</v>
      </c>
      <c r="H43" s="289">
        <f t="shared" ref="H43:H49" si="7">ROUND(G43*F43,2)</f>
        <v>7817.11</v>
      </c>
      <c r="I43" s="36">
        <f t="shared" ref="I43:I49" si="8">+H43/$H$54</f>
        <v>1.4414899350672426E-3</v>
      </c>
      <c r="K43" s="53"/>
      <c r="L43" s="299"/>
      <c r="M43" s="280"/>
      <c r="N43" s="300"/>
      <c r="O43" s="51"/>
      <c r="P43" s="298"/>
    </row>
    <row r="44" spans="1:16" ht="15" customHeight="1">
      <c r="A44" s="46" t="s">
        <v>152</v>
      </c>
      <c r="B44" s="531" t="s">
        <v>153</v>
      </c>
      <c r="C44" s="486"/>
      <c r="D44" s="487"/>
      <c r="E44" s="236" t="s">
        <v>17</v>
      </c>
      <c r="F44" s="54">
        <v>5.0000000000000001E-3</v>
      </c>
      <c r="G44" s="289">
        <f>$H$8</f>
        <v>3908554.04</v>
      </c>
      <c r="H44" s="289">
        <f t="shared" si="7"/>
        <v>19542.77</v>
      </c>
      <c r="I44" s="36">
        <f t="shared" si="8"/>
        <v>3.6037239156586076E-3</v>
      </c>
      <c r="L44" s="51"/>
      <c r="O44" s="51"/>
      <c r="P44" s="298"/>
    </row>
    <row r="45" spans="1:16" ht="15" customHeight="1">
      <c r="A45" s="46" t="s">
        <v>154</v>
      </c>
      <c r="B45" s="531" t="s">
        <v>155</v>
      </c>
      <c r="C45" s="486"/>
      <c r="D45" s="487"/>
      <c r="E45" s="236" t="s">
        <v>17</v>
      </c>
      <c r="F45" s="37">
        <v>0.02</v>
      </c>
      <c r="G45" s="289">
        <f>$H$8</f>
        <v>3908554.04</v>
      </c>
      <c r="H45" s="289">
        <f t="shared" si="7"/>
        <v>78171.08</v>
      </c>
      <c r="I45" s="36">
        <f t="shared" si="8"/>
        <v>1.441489566263443E-2</v>
      </c>
      <c r="K45" s="53"/>
      <c r="L45" s="299"/>
      <c r="M45" s="280"/>
      <c r="O45" s="51"/>
      <c r="P45" s="298"/>
    </row>
    <row r="46" spans="1:16" ht="15" customHeight="1">
      <c r="A46" s="46" t="s">
        <v>156</v>
      </c>
      <c r="B46" s="531" t="s">
        <v>157</v>
      </c>
      <c r="C46" s="486"/>
      <c r="D46" s="487"/>
      <c r="E46" s="236" t="s">
        <v>17</v>
      </c>
      <c r="F46" s="37">
        <v>0.03</v>
      </c>
      <c r="G46" s="289">
        <f>$H$8</f>
        <v>3908554.04</v>
      </c>
      <c r="H46" s="289">
        <f t="shared" si="7"/>
        <v>117256.62</v>
      </c>
      <c r="I46" s="36">
        <f t="shared" si="8"/>
        <v>2.1622343493951642E-2</v>
      </c>
      <c r="L46" s="51"/>
      <c r="O46" s="52"/>
      <c r="P46" s="298"/>
    </row>
    <row r="47" spans="1:16" ht="14.25" customHeight="1">
      <c r="A47" s="46" t="s">
        <v>158</v>
      </c>
      <c r="B47" s="531" t="s">
        <v>42</v>
      </c>
      <c r="C47" s="486"/>
      <c r="D47" s="487"/>
      <c r="E47" s="236" t="s">
        <v>17</v>
      </c>
      <c r="F47" s="54">
        <v>0.03</v>
      </c>
      <c r="G47" s="289">
        <f>$H$8</f>
        <v>3908554.04</v>
      </c>
      <c r="H47" s="289">
        <f t="shared" si="7"/>
        <v>117256.62</v>
      </c>
      <c r="I47" s="36">
        <f t="shared" si="8"/>
        <v>2.1622343493951642E-2</v>
      </c>
      <c r="K47" s="281"/>
      <c r="L47" s="280"/>
      <c r="M47" s="301"/>
    </row>
    <row r="48" spans="1:16" ht="14.25" customHeight="1">
      <c r="A48" s="46" t="s">
        <v>159</v>
      </c>
      <c r="B48" s="531" t="s">
        <v>160</v>
      </c>
      <c r="C48" s="486"/>
      <c r="D48" s="487"/>
      <c r="E48" s="236" t="s">
        <v>17</v>
      </c>
      <c r="F48" s="37">
        <v>0.01</v>
      </c>
      <c r="G48" s="289">
        <f>+I174</f>
        <v>7081052.5520000057</v>
      </c>
      <c r="H48" s="289">
        <f t="shared" si="7"/>
        <v>70810.53</v>
      </c>
      <c r="I48" s="36">
        <f t="shared" si="8"/>
        <v>1.3057596258946981E-2</v>
      </c>
      <c r="M48" s="301"/>
    </row>
    <row r="49" spans="1:13" ht="14.25" customHeight="1">
      <c r="A49" s="46" t="s">
        <v>161</v>
      </c>
      <c r="B49" s="531" t="s">
        <v>162</v>
      </c>
      <c r="C49" s="486"/>
      <c r="D49" s="487"/>
      <c r="E49" s="236" t="s">
        <v>17</v>
      </c>
      <c r="F49" s="37">
        <f>3%</f>
        <v>0.03</v>
      </c>
      <c r="G49" s="289">
        <f>+I174</f>
        <v>7081052.5520000057</v>
      </c>
      <c r="H49" s="302">
        <f t="shared" si="7"/>
        <v>212431.58</v>
      </c>
      <c r="I49" s="36">
        <f t="shared" si="8"/>
        <v>3.9172786932821939E-2</v>
      </c>
    </row>
    <row r="50" spans="1:13" ht="14.25" customHeight="1">
      <c r="A50" s="46"/>
      <c r="B50" s="531"/>
      <c r="C50" s="486"/>
      <c r="D50" s="487"/>
      <c r="E50" s="236"/>
      <c r="F50" s="37"/>
      <c r="G50" s="289"/>
      <c r="H50" s="289"/>
      <c r="I50" s="36"/>
    </row>
    <row r="51" spans="1:13" ht="14.25" customHeight="1">
      <c r="A51" s="48" t="s">
        <v>163</v>
      </c>
      <c r="B51" s="533" t="s">
        <v>164</v>
      </c>
      <c r="C51" s="486"/>
      <c r="D51" s="487"/>
      <c r="E51" s="239" t="s">
        <v>17</v>
      </c>
      <c r="F51" s="55" t="s">
        <v>114</v>
      </c>
      <c r="G51" s="297" t="s">
        <v>114</v>
      </c>
      <c r="H51" s="297">
        <f>H52+H53</f>
        <v>122299.31062845506</v>
      </c>
      <c r="I51" s="50">
        <f>+H51/$H$54</f>
        <v>2.2552225226020899E-2</v>
      </c>
      <c r="K51" s="303"/>
      <c r="L51" s="280"/>
      <c r="M51" s="280"/>
    </row>
    <row r="52" spans="1:13" ht="14.25" customHeight="1" thickBot="1">
      <c r="A52" s="56" t="s">
        <v>165</v>
      </c>
      <c r="B52" s="539" t="s">
        <v>166</v>
      </c>
      <c r="C52" s="540"/>
      <c r="D52" s="541"/>
      <c r="E52" s="452" t="s">
        <v>17</v>
      </c>
      <c r="F52" s="453">
        <v>0.05</v>
      </c>
      <c r="G52" s="454"/>
      <c r="H52" s="454"/>
      <c r="I52" s="455">
        <f>+H52/$H$54</f>
        <v>0</v>
      </c>
      <c r="K52" s="303"/>
      <c r="L52" s="280"/>
      <c r="M52" s="280"/>
    </row>
    <row r="53" spans="1:13" ht="14.25" customHeight="1" thickBot="1">
      <c r="A53" s="56" t="s">
        <v>585</v>
      </c>
      <c r="B53" s="539" t="s">
        <v>51</v>
      </c>
      <c r="C53" s="540"/>
      <c r="D53" s="541"/>
      <c r="E53" s="449"/>
      <c r="F53" s="37">
        <v>0.15</v>
      </c>
      <c r="G53" s="289">
        <f>((((SUM(G19))*38.6%)*F52)+H42+H31)</f>
        <v>878297.13752303377</v>
      </c>
      <c r="H53" s="289">
        <f>(+F53*G53)-9445.26</f>
        <v>122299.31062845506</v>
      </c>
      <c r="I53" s="455">
        <f>+H53/$H$54</f>
        <v>2.2552225226020899E-2</v>
      </c>
      <c r="K53" s="303"/>
      <c r="L53" s="280"/>
      <c r="M53" s="280"/>
    </row>
    <row r="54" spans="1:13" ht="14.25" customHeight="1">
      <c r="A54" s="549" t="s">
        <v>167</v>
      </c>
      <c r="B54" s="524"/>
      <c r="C54" s="524"/>
      <c r="D54" s="524"/>
      <c r="E54" s="57"/>
      <c r="F54" s="57"/>
      <c r="G54" s="58"/>
      <c r="H54" s="304">
        <f>+H6+H8+H22</f>
        <v>5422937.6215764889</v>
      </c>
      <c r="I54" s="59">
        <v>1</v>
      </c>
      <c r="L54" s="280"/>
    </row>
    <row r="55" spans="1:13" ht="18.75" customHeight="1">
      <c r="A55" s="28"/>
      <c r="B55" s="28"/>
      <c r="C55" s="28"/>
      <c r="D55" s="28"/>
      <c r="E55" s="28"/>
      <c r="F55" s="28"/>
      <c r="G55" s="28"/>
      <c r="H55" s="28"/>
      <c r="I55" s="28"/>
    </row>
    <row r="56" spans="1:13" ht="14.25" customHeight="1">
      <c r="A56" s="28"/>
      <c r="B56" s="28"/>
      <c r="C56" s="28"/>
      <c r="D56" s="28"/>
      <c r="E56" s="28"/>
      <c r="F56" s="28"/>
      <c r="G56" s="28"/>
      <c r="H56" s="28"/>
      <c r="I56" s="28"/>
    </row>
    <row r="57" spans="1:13" ht="14.25" customHeight="1">
      <c r="A57" s="28"/>
      <c r="B57" s="28"/>
      <c r="C57" s="28"/>
      <c r="D57" s="28"/>
      <c r="E57" s="28"/>
      <c r="F57" s="28"/>
      <c r="G57" s="28"/>
      <c r="H57" s="28"/>
      <c r="I57" s="28"/>
    </row>
    <row r="58" spans="1:13" ht="14.25" customHeight="1">
      <c r="A58" s="28"/>
      <c r="B58" s="28"/>
      <c r="C58" s="28"/>
      <c r="D58" s="28"/>
      <c r="E58" s="28"/>
      <c r="F58" s="28"/>
      <c r="G58" s="28"/>
      <c r="H58" s="28"/>
      <c r="I58" s="28"/>
    </row>
    <row r="59" spans="1:13" ht="14.25" customHeight="1">
      <c r="A59" s="28"/>
      <c r="B59" s="28"/>
      <c r="C59" s="28"/>
      <c r="D59" s="28"/>
      <c r="E59" s="28"/>
      <c r="F59" s="28"/>
      <c r="G59" s="28"/>
      <c r="H59" s="28"/>
      <c r="I59" s="28"/>
    </row>
    <row r="60" spans="1:13" ht="14.25" customHeight="1">
      <c r="A60" s="28"/>
      <c r="B60" s="28"/>
      <c r="C60" s="28"/>
      <c r="D60" s="28"/>
      <c r="E60" s="28"/>
      <c r="F60" s="28"/>
      <c r="G60" s="28"/>
      <c r="H60" s="28"/>
      <c r="I60" s="28"/>
    </row>
    <row r="61" spans="1:13" ht="14.25" customHeight="1">
      <c r="A61" s="28"/>
      <c r="B61" s="28"/>
      <c r="C61" s="28"/>
      <c r="D61" s="28"/>
      <c r="E61" s="28"/>
      <c r="F61" s="28"/>
      <c r="G61" s="28"/>
      <c r="H61" s="28"/>
      <c r="I61" s="28"/>
    </row>
    <row r="62" spans="1:13" ht="14.25" customHeight="1">
      <c r="A62" s="28"/>
      <c r="B62" s="28"/>
      <c r="C62" s="28"/>
      <c r="D62" s="28"/>
      <c r="E62" s="28"/>
      <c r="F62" s="28"/>
      <c r="G62" s="28"/>
      <c r="H62" s="28"/>
      <c r="I62" s="28"/>
    </row>
    <row r="63" spans="1:13" ht="14.25" customHeight="1">
      <c r="A63" s="28"/>
      <c r="B63" s="28"/>
      <c r="C63" s="28"/>
      <c r="D63" s="28"/>
      <c r="E63" s="28"/>
      <c r="F63" s="28"/>
      <c r="G63" s="28"/>
      <c r="H63" s="28"/>
      <c r="I63" s="28"/>
    </row>
    <row r="64" spans="1:13" ht="14.25" customHeight="1">
      <c r="A64" s="28"/>
      <c r="B64" s="28"/>
      <c r="C64" s="28"/>
      <c r="D64" s="28"/>
      <c r="E64" s="28"/>
      <c r="F64" s="28"/>
      <c r="G64" s="28"/>
      <c r="H64" s="28"/>
      <c r="I64" s="28"/>
    </row>
    <row r="65" spans="1:14" ht="14.25" customHeight="1">
      <c r="A65" s="28"/>
      <c r="B65" s="28"/>
      <c r="C65" s="28"/>
      <c r="D65" s="28"/>
      <c r="E65" s="28"/>
      <c r="F65" s="28"/>
      <c r="G65" s="28"/>
      <c r="H65" s="28"/>
      <c r="I65" s="28"/>
    </row>
    <row r="66" spans="1:14" ht="14.25" customHeight="1">
      <c r="A66" s="28"/>
      <c r="B66" s="28"/>
      <c r="C66" s="28"/>
      <c r="D66" s="28"/>
      <c r="E66" s="28"/>
      <c r="F66" s="28"/>
      <c r="G66" s="28"/>
      <c r="H66" s="28"/>
      <c r="I66" s="28"/>
    </row>
    <row r="67" spans="1:14" ht="14.25" customHeight="1">
      <c r="A67" s="28"/>
      <c r="B67" s="28"/>
      <c r="C67" s="28"/>
      <c r="D67" s="28"/>
      <c r="E67" s="28"/>
      <c r="F67" s="28"/>
      <c r="G67" s="28"/>
      <c r="H67" s="28"/>
      <c r="I67" s="28"/>
    </row>
    <row r="68" spans="1:14" ht="14.25" customHeight="1">
      <c r="A68" s="28"/>
      <c r="B68" s="28"/>
      <c r="C68" s="28"/>
      <c r="D68" s="28"/>
      <c r="E68" s="28"/>
      <c r="F68" s="28"/>
      <c r="G68" s="28"/>
      <c r="H68" s="28"/>
      <c r="I68" s="28"/>
    </row>
    <row r="69" spans="1:14" ht="14.25" customHeight="1">
      <c r="A69" s="28"/>
      <c r="B69" s="28"/>
      <c r="C69" s="28"/>
      <c r="D69" s="28"/>
      <c r="E69" s="28"/>
      <c r="F69" s="28"/>
      <c r="G69" s="28"/>
      <c r="H69" s="28"/>
      <c r="I69" s="28"/>
    </row>
    <row r="70" spans="1:14" ht="14.25" customHeight="1">
      <c r="A70" s="532" t="s">
        <v>168</v>
      </c>
      <c r="B70" s="486"/>
      <c r="C70" s="486"/>
      <c r="D70" s="486"/>
      <c r="E70" s="486"/>
      <c r="F70" s="486"/>
      <c r="G70" s="486"/>
      <c r="H70" s="486"/>
      <c r="I70" s="487"/>
    </row>
    <row r="71" spans="1:14" ht="15" customHeight="1">
      <c r="A71" s="542" t="s">
        <v>169</v>
      </c>
      <c r="B71" s="542" t="s">
        <v>170</v>
      </c>
      <c r="C71" s="542" t="s">
        <v>171</v>
      </c>
      <c r="D71" s="547" t="s">
        <v>172</v>
      </c>
      <c r="E71" s="487"/>
      <c r="F71" s="542" t="s">
        <v>173</v>
      </c>
      <c r="G71" s="487"/>
      <c r="H71" s="542" t="s">
        <v>55</v>
      </c>
      <c r="I71" s="487"/>
    </row>
    <row r="72" spans="1:14" ht="14.25" customHeight="1">
      <c r="A72" s="499"/>
      <c r="B72" s="499"/>
      <c r="C72" s="499"/>
      <c r="D72" s="241" t="s">
        <v>174</v>
      </c>
      <c r="E72" s="240" t="s">
        <v>10</v>
      </c>
      <c r="F72" s="240" t="s">
        <v>174</v>
      </c>
      <c r="G72" s="240" t="s">
        <v>10</v>
      </c>
      <c r="H72" s="240" t="s">
        <v>174</v>
      </c>
      <c r="I72" s="240" t="s">
        <v>10</v>
      </c>
    </row>
    <row r="73" spans="1:14" ht="14.25" customHeight="1">
      <c r="A73" s="60" t="s">
        <v>175</v>
      </c>
      <c r="B73" s="61">
        <f>+SUM(B74:B173)</f>
        <v>6604.679999999993</v>
      </c>
      <c r="C73" s="61">
        <f>+SUM(C74:C173)</f>
        <v>56.15999999999994</v>
      </c>
      <c r="D73" s="305">
        <f>+SUM(D74:D173)</f>
        <v>0</v>
      </c>
      <c r="E73" s="305">
        <f>+SUM(E74:E173)</f>
        <v>0</v>
      </c>
      <c r="F73" s="62">
        <f>+SUM(F74:F173)</f>
        <v>100</v>
      </c>
      <c r="G73" s="61">
        <f>SUM(G74:G173)</f>
        <v>7081052.5520000057</v>
      </c>
      <c r="H73" s="62">
        <f>+SUM(H74:H173)</f>
        <v>100</v>
      </c>
      <c r="I73" s="61">
        <f>+G73</f>
        <v>7081052.5520000057</v>
      </c>
    </row>
    <row r="74" spans="1:14" s="67" customFormat="1" ht="12" customHeight="1" outlineLevel="1">
      <c r="A74" s="63" t="str">
        <f>'FLUJO DE INGRESOS'!A17</f>
        <v>Casa 001</v>
      </c>
      <c r="B74" s="64">
        <f>'FLUJO DE INGRESOS'!E17</f>
        <v>74.010000000000005</v>
      </c>
      <c r="C74" s="64">
        <f>'FLUJO DE INGRESOS'!F17</f>
        <v>1.08</v>
      </c>
      <c r="D74" s="306">
        <v>0</v>
      </c>
      <c r="E74" s="306">
        <v>0</v>
      </c>
      <c r="F74" s="65">
        <v>1</v>
      </c>
      <c r="G74" s="307">
        <f>'FLUJO DE INGRESOS'!O17</f>
        <v>81990.306000000011</v>
      </c>
      <c r="H74" s="308">
        <f t="shared" ref="H74:H105" si="9">+D74+F74</f>
        <v>1</v>
      </c>
      <c r="I74" s="307">
        <f t="shared" ref="I74:I105" si="10">+G74+E74</f>
        <v>81990.306000000011</v>
      </c>
      <c r="J74" s="66"/>
      <c r="N74" s="309"/>
    </row>
    <row r="75" spans="1:14" s="67" customFormat="1" ht="12" customHeight="1" outlineLevel="1">
      <c r="A75" s="63" t="str">
        <f>'FLUJO DE INGRESOS'!A18</f>
        <v>Casa 002</v>
      </c>
      <c r="B75" s="64">
        <f>'FLUJO DE INGRESOS'!E18</f>
        <v>74.010000000000005</v>
      </c>
      <c r="C75" s="64">
        <f>'FLUJO DE INGRESOS'!F18</f>
        <v>1.08</v>
      </c>
      <c r="D75" s="306">
        <v>0</v>
      </c>
      <c r="E75" s="306">
        <v>0</v>
      </c>
      <c r="F75" s="65">
        <v>1</v>
      </c>
      <c r="G75" s="307">
        <f>'FLUJO DE INGRESOS'!O18</f>
        <v>81990.306000000011</v>
      </c>
      <c r="H75" s="308">
        <f t="shared" si="9"/>
        <v>1</v>
      </c>
      <c r="I75" s="307">
        <f t="shared" si="10"/>
        <v>81990.306000000011</v>
      </c>
      <c r="J75" s="66"/>
      <c r="N75" s="309"/>
    </row>
    <row r="76" spans="1:14" s="67" customFormat="1" ht="12" customHeight="1" outlineLevel="1">
      <c r="A76" s="63" t="str">
        <f>'FLUJO DE INGRESOS'!A19</f>
        <v>Casa 003</v>
      </c>
      <c r="B76" s="64">
        <f>'FLUJO DE INGRESOS'!E19</f>
        <v>74.010000000000005</v>
      </c>
      <c r="C76" s="64">
        <f>'FLUJO DE INGRESOS'!F19</f>
        <v>1.08</v>
      </c>
      <c r="D76" s="306">
        <v>0</v>
      </c>
      <c r="E76" s="306">
        <v>0</v>
      </c>
      <c r="F76" s="65">
        <v>1</v>
      </c>
      <c r="G76" s="307">
        <f>'FLUJO DE INGRESOS'!O19</f>
        <v>81990.306000000011</v>
      </c>
      <c r="H76" s="308">
        <f t="shared" si="9"/>
        <v>1</v>
      </c>
      <c r="I76" s="307">
        <f t="shared" si="10"/>
        <v>81990.306000000011</v>
      </c>
      <c r="J76" s="66"/>
      <c r="N76" s="309"/>
    </row>
    <row r="77" spans="1:14" s="67" customFormat="1" ht="12" customHeight="1" outlineLevel="1">
      <c r="A77" s="63" t="str">
        <f>'FLUJO DE INGRESOS'!A20</f>
        <v>Casa 004</v>
      </c>
      <c r="B77" s="64">
        <f>'FLUJO DE INGRESOS'!E20</f>
        <v>74.010000000000005</v>
      </c>
      <c r="C77" s="64">
        <f>'FLUJO DE INGRESOS'!F20</f>
        <v>1.08</v>
      </c>
      <c r="D77" s="306">
        <v>0</v>
      </c>
      <c r="E77" s="306">
        <v>0</v>
      </c>
      <c r="F77" s="65">
        <v>1</v>
      </c>
      <c r="G77" s="307">
        <f>'FLUJO DE INGRESOS'!O20</f>
        <v>81990.306000000011</v>
      </c>
      <c r="H77" s="308">
        <f t="shared" si="9"/>
        <v>1</v>
      </c>
      <c r="I77" s="307">
        <f t="shared" si="10"/>
        <v>81990.306000000011</v>
      </c>
      <c r="J77" s="66"/>
      <c r="N77" s="309"/>
    </row>
    <row r="78" spans="1:14" s="67" customFormat="1" ht="12" customHeight="1" outlineLevel="1">
      <c r="A78" s="63" t="str">
        <f>'FLUJO DE INGRESOS'!A21</f>
        <v>Casa 005</v>
      </c>
      <c r="B78" s="64">
        <f>'FLUJO DE INGRESOS'!E21</f>
        <v>74.010000000000005</v>
      </c>
      <c r="C78" s="64">
        <f>'FLUJO DE INGRESOS'!F21</f>
        <v>1.08</v>
      </c>
      <c r="D78" s="306">
        <v>0</v>
      </c>
      <c r="E78" s="306">
        <v>0</v>
      </c>
      <c r="F78" s="65">
        <v>1</v>
      </c>
      <c r="G78" s="307">
        <f>'FLUJO DE INGRESOS'!O21</f>
        <v>81990.306000000011</v>
      </c>
      <c r="H78" s="308">
        <f t="shared" si="9"/>
        <v>1</v>
      </c>
      <c r="I78" s="307">
        <f t="shared" si="10"/>
        <v>81990.306000000011</v>
      </c>
      <c r="J78" s="66"/>
      <c r="N78" s="309"/>
    </row>
    <row r="79" spans="1:14" s="67" customFormat="1" ht="12" customHeight="1" outlineLevel="1">
      <c r="A79" s="63" t="str">
        <f>'FLUJO DE INGRESOS'!A22</f>
        <v>Casa 006</v>
      </c>
      <c r="B79" s="64">
        <f>'FLUJO DE INGRESOS'!E22</f>
        <v>74.010000000000005</v>
      </c>
      <c r="C79" s="64">
        <f>'FLUJO DE INGRESOS'!F22</f>
        <v>1.08</v>
      </c>
      <c r="D79" s="306">
        <v>0</v>
      </c>
      <c r="E79" s="306">
        <v>0</v>
      </c>
      <c r="F79" s="65">
        <v>1</v>
      </c>
      <c r="G79" s="307">
        <f>'FLUJO DE INGRESOS'!O22</f>
        <v>82990.306000000011</v>
      </c>
      <c r="H79" s="308">
        <f t="shared" si="9"/>
        <v>1</v>
      </c>
      <c r="I79" s="307">
        <f t="shared" si="10"/>
        <v>82990.306000000011</v>
      </c>
      <c r="J79" s="66"/>
      <c r="N79" s="309"/>
    </row>
    <row r="80" spans="1:14" s="67" customFormat="1" ht="12" customHeight="1" outlineLevel="1">
      <c r="A80" s="63" t="str">
        <f>'FLUJO DE INGRESOS'!A23</f>
        <v>Casa 007</v>
      </c>
      <c r="B80" s="64">
        <f>'FLUJO DE INGRESOS'!E23</f>
        <v>74.010000000000005</v>
      </c>
      <c r="C80" s="64">
        <f>'FLUJO DE INGRESOS'!F23</f>
        <v>1.08</v>
      </c>
      <c r="D80" s="306">
        <v>0</v>
      </c>
      <c r="E80" s="306">
        <v>0</v>
      </c>
      <c r="F80" s="65">
        <v>1</v>
      </c>
      <c r="G80" s="307">
        <f>'FLUJO DE INGRESOS'!O23</f>
        <v>82990.306000000011</v>
      </c>
      <c r="H80" s="308">
        <f t="shared" si="9"/>
        <v>1</v>
      </c>
      <c r="I80" s="307">
        <f t="shared" si="10"/>
        <v>82990.306000000011</v>
      </c>
      <c r="J80" s="66"/>
      <c r="N80" s="309"/>
    </row>
    <row r="81" spans="1:14" s="67" customFormat="1" ht="12" customHeight="1" outlineLevel="1">
      <c r="A81" s="63" t="str">
        <f>'FLUJO DE INGRESOS'!A24</f>
        <v>Casa 008</v>
      </c>
      <c r="B81" s="64">
        <f>'FLUJO DE INGRESOS'!E24</f>
        <v>74.010000000000005</v>
      </c>
      <c r="C81" s="64">
        <f>'FLUJO DE INGRESOS'!F24</f>
        <v>1.08</v>
      </c>
      <c r="D81" s="306">
        <v>0</v>
      </c>
      <c r="E81" s="306">
        <v>0</v>
      </c>
      <c r="F81" s="65">
        <v>1</v>
      </c>
      <c r="G81" s="307">
        <f>'FLUJO DE INGRESOS'!O24</f>
        <v>82990.306000000011</v>
      </c>
      <c r="H81" s="308">
        <f t="shared" si="9"/>
        <v>1</v>
      </c>
      <c r="I81" s="307">
        <f t="shared" si="10"/>
        <v>82990.306000000011</v>
      </c>
      <c r="J81" s="66"/>
      <c r="N81" s="309"/>
    </row>
    <row r="82" spans="1:14" s="67" customFormat="1" ht="12" customHeight="1" outlineLevel="1">
      <c r="A82" s="63" t="str">
        <f>'FLUJO DE INGRESOS'!A25</f>
        <v>Casa 009</v>
      </c>
      <c r="B82" s="64">
        <f>'FLUJO DE INGRESOS'!E25</f>
        <v>74.010000000000005</v>
      </c>
      <c r="C82" s="64">
        <f>'FLUJO DE INGRESOS'!F25</f>
        <v>1.08</v>
      </c>
      <c r="D82" s="306">
        <v>0</v>
      </c>
      <c r="E82" s="306">
        <v>0</v>
      </c>
      <c r="F82" s="65">
        <v>1</v>
      </c>
      <c r="G82" s="307">
        <f>'FLUJO DE INGRESOS'!O25</f>
        <v>82990.306000000011</v>
      </c>
      <c r="H82" s="308">
        <f t="shared" si="9"/>
        <v>1</v>
      </c>
      <c r="I82" s="307">
        <f t="shared" si="10"/>
        <v>82990.306000000011</v>
      </c>
      <c r="J82" s="66"/>
      <c r="N82" s="309"/>
    </row>
    <row r="83" spans="1:14" s="67" customFormat="1" ht="12" customHeight="1" outlineLevel="1">
      <c r="A83" s="63" t="str">
        <f>'FLUJO DE INGRESOS'!A26</f>
        <v>Casa 010</v>
      </c>
      <c r="B83" s="64">
        <f>'FLUJO DE INGRESOS'!E26</f>
        <v>74.010000000000005</v>
      </c>
      <c r="C83" s="64">
        <f>'FLUJO DE INGRESOS'!F26</f>
        <v>1.08</v>
      </c>
      <c r="D83" s="306">
        <v>0</v>
      </c>
      <c r="E83" s="306">
        <v>0</v>
      </c>
      <c r="F83" s="65">
        <v>1</v>
      </c>
      <c r="G83" s="307">
        <f>'FLUJO DE INGRESOS'!O26</f>
        <v>80990.306000000011</v>
      </c>
      <c r="H83" s="308">
        <f t="shared" si="9"/>
        <v>1</v>
      </c>
      <c r="I83" s="307">
        <f t="shared" si="10"/>
        <v>80990.306000000011</v>
      </c>
      <c r="J83" s="66"/>
      <c r="N83" s="309"/>
    </row>
    <row r="84" spans="1:14" s="67" customFormat="1" ht="12" customHeight="1" outlineLevel="1">
      <c r="A84" s="63" t="str">
        <f>'FLUJO DE INGRESOS'!A27</f>
        <v>Casa 011</v>
      </c>
      <c r="B84" s="64">
        <f>'FLUJO DE INGRESOS'!E27</f>
        <v>74.010000000000005</v>
      </c>
      <c r="C84" s="64">
        <f>'FLUJO DE INGRESOS'!F27</f>
        <v>1.08</v>
      </c>
      <c r="D84" s="306">
        <v>0</v>
      </c>
      <c r="E84" s="306">
        <v>0</v>
      </c>
      <c r="F84" s="65">
        <v>1</v>
      </c>
      <c r="G84" s="307">
        <f>'FLUJO DE INGRESOS'!O27</f>
        <v>80990.306000000011</v>
      </c>
      <c r="H84" s="308">
        <f t="shared" si="9"/>
        <v>1</v>
      </c>
      <c r="I84" s="307">
        <f t="shared" si="10"/>
        <v>80990.306000000011</v>
      </c>
      <c r="J84" s="66"/>
      <c r="N84" s="309"/>
    </row>
    <row r="85" spans="1:14" s="67" customFormat="1" ht="12" customHeight="1" outlineLevel="1">
      <c r="A85" s="63" t="str">
        <f>'FLUJO DE INGRESOS'!A28</f>
        <v>Casa 012</v>
      </c>
      <c r="B85" s="64">
        <f>'FLUJO DE INGRESOS'!E28</f>
        <v>74.010000000000005</v>
      </c>
      <c r="C85" s="64">
        <f>'FLUJO DE INGRESOS'!F28</f>
        <v>1.08</v>
      </c>
      <c r="D85" s="306">
        <v>0</v>
      </c>
      <c r="E85" s="306">
        <v>0</v>
      </c>
      <c r="F85" s="65">
        <v>1</v>
      </c>
      <c r="G85" s="307">
        <f>'FLUJO DE INGRESOS'!O28</f>
        <v>80990.306000000011</v>
      </c>
      <c r="H85" s="308">
        <f t="shared" si="9"/>
        <v>1</v>
      </c>
      <c r="I85" s="307">
        <f t="shared" si="10"/>
        <v>80990.306000000011</v>
      </c>
      <c r="J85" s="66"/>
      <c r="N85" s="309"/>
    </row>
    <row r="86" spans="1:14" s="67" customFormat="1" ht="12" customHeight="1" outlineLevel="1">
      <c r="A86" s="63" t="str">
        <f>'FLUJO DE INGRESOS'!A29</f>
        <v>Casa 013</v>
      </c>
      <c r="B86" s="64">
        <f>'FLUJO DE INGRESOS'!E29</f>
        <v>74.010000000000005</v>
      </c>
      <c r="C86" s="64">
        <f>'FLUJO DE INGRESOS'!F29</f>
        <v>1.08</v>
      </c>
      <c r="D86" s="306">
        <v>0</v>
      </c>
      <c r="E86" s="306">
        <v>0</v>
      </c>
      <c r="F86" s="65">
        <v>1</v>
      </c>
      <c r="G86" s="307">
        <f>'FLUJO DE INGRESOS'!O29</f>
        <v>81990.306000000011</v>
      </c>
      <c r="H86" s="308">
        <f t="shared" si="9"/>
        <v>1</v>
      </c>
      <c r="I86" s="307">
        <f t="shared" si="10"/>
        <v>81990.306000000011</v>
      </c>
      <c r="J86" s="66"/>
      <c r="N86" s="309"/>
    </row>
    <row r="87" spans="1:14" s="67" customFormat="1" ht="12" customHeight="1" outlineLevel="1">
      <c r="A87" s="63" t="str">
        <f>'FLUJO DE INGRESOS'!A30</f>
        <v>Casa 014</v>
      </c>
      <c r="B87" s="64">
        <f>'FLUJO DE INGRESOS'!E30</f>
        <v>74.010000000000005</v>
      </c>
      <c r="C87" s="64">
        <f>'FLUJO DE INGRESOS'!F30</f>
        <v>1.08</v>
      </c>
      <c r="D87" s="306">
        <v>0</v>
      </c>
      <c r="E87" s="306">
        <v>0</v>
      </c>
      <c r="F87" s="65">
        <v>1</v>
      </c>
      <c r="G87" s="307">
        <f>'FLUJO DE INGRESOS'!O30</f>
        <v>81990.306000000011</v>
      </c>
      <c r="H87" s="308">
        <f t="shared" si="9"/>
        <v>1</v>
      </c>
      <c r="I87" s="307">
        <f t="shared" si="10"/>
        <v>81990.306000000011</v>
      </c>
      <c r="J87" s="66"/>
      <c r="N87" s="309"/>
    </row>
    <row r="88" spans="1:14" s="67" customFormat="1" ht="12" customHeight="1" outlineLevel="1">
      <c r="A88" s="63" t="str">
        <f>'FLUJO DE INGRESOS'!A31</f>
        <v>Casa 015</v>
      </c>
      <c r="B88" s="64">
        <f>'FLUJO DE INGRESOS'!E31</f>
        <v>74.010000000000005</v>
      </c>
      <c r="C88" s="64">
        <f>'FLUJO DE INGRESOS'!F31</f>
        <v>1.08</v>
      </c>
      <c r="D88" s="306">
        <v>0</v>
      </c>
      <c r="E88" s="306">
        <v>0</v>
      </c>
      <c r="F88" s="65">
        <v>1</v>
      </c>
      <c r="G88" s="307">
        <f>'FLUJO DE INGRESOS'!O31</f>
        <v>81990.306000000011</v>
      </c>
      <c r="H88" s="308">
        <f t="shared" si="9"/>
        <v>1</v>
      </c>
      <c r="I88" s="307">
        <f t="shared" si="10"/>
        <v>81990.306000000011</v>
      </c>
      <c r="J88" s="66"/>
      <c r="N88" s="309"/>
    </row>
    <row r="89" spans="1:14" s="67" customFormat="1" ht="12" customHeight="1" outlineLevel="1">
      <c r="A89" s="63" t="str">
        <f>'FLUJO DE INGRESOS'!A32</f>
        <v>Casa 016</v>
      </c>
      <c r="B89" s="64">
        <f>'FLUJO DE INGRESOS'!E32</f>
        <v>74.010000000000005</v>
      </c>
      <c r="C89" s="64">
        <f>'FLUJO DE INGRESOS'!F32</f>
        <v>1.08</v>
      </c>
      <c r="D89" s="306">
        <v>0</v>
      </c>
      <c r="E89" s="306">
        <v>0</v>
      </c>
      <c r="F89" s="65">
        <v>1</v>
      </c>
      <c r="G89" s="307">
        <f>'FLUJO DE INGRESOS'!O32</f>
        <v>81990.306000000011</v>
      </c>
      <c r="H89" s="308">
        <f t="shared" si="9"/>
        <v>1</v>
      </c>
      <c r="I89" s="307">
        <f t="shared" si="10"/>
        <v>81990.306000000011</v>
      </c>
      <c r="J89" s="66"/>
      <c r="N89" s="309"/>
    </row>
    <row r="90" spans="1:14" s="67" customFormat="1" ht="12" customHeight="1" outlineLevel="1">
      <c r="A90" s="63" t="str">
        <f>'FLUJO DE INGRESOS'!A33</f>
        <v>Casa 017</v>
      </c>
      <c r="B90" s="64">
        <f>'FLUJO DE INGRESOS'!E33</f>
        <v>74.010000000000005</v>
      </c>
      <c r="C90" s="64">
        <f>'FLUJO DE INGRESOS'!F33</f>
        <v>1.08</v>
      </c>
      <c r="D90" s="306">
        <v>0</v>
      </c>
      <c r="E90" s="306">
        <v>0</v>
      </c>
      <c r="F90" s="65">
        <v>1</v>
      </c>
      <c r="G90" s="307">
        <f>'FLUJO DE INGRESOS'!O33</f>
        <v>81990.306000000011</v>
      </c>
      <c r="H90" s="308">
        <f t="shared" si="9"/>
        <v>1</v>
      </c>
      <c r="I90" s="307">
        <f t="shared" si="10"/>
        <v>81990.306000000011</v>
      </c>
      <c r="J90" s="66"/>
      <c r="N90" s="309"/>
    </row>
    <row r="91" spans="1:14" s="67" customFormat="1" ht="12" customHeight="1" outlineLevel="1">
      <c r="A91" s="63" t="str">
        <f>'FLUJO DE INGRESOS'!A34</f>
        <v>Casa 018</v>
      </c>
      <c r="B91" s="64">
        <f>'FLUJO DE INGRESOS'!E34</f>
        <v>74.010000000000005</v>
      </c>
      <c r="C91" s="64">
        <f>'FLUJO DE INGRESOS'!F34</f>
        <v>1.08</v>
      </c>
      <c r="D91" s="306">
        <v>0</v>
      </c>
      <c r="E91" s="306">
        <v>0</v>
      </c>
      <c r="F91" s="65">
        <v>1</v>
      </c>
      <c r="G91" s="307">
        <f>'FLUJO DE INGRESOS'!O34</f>
        <v>81990.306000000011</v>
      </c>
      <c r="H91" s="308">
        <f t="shared" si="9"/>
        <v>1</v>
      </c>
      <c r="I91" s="307">
        <f t="shared" si="10"/>
        <v>81990.306000000011</v>
      </c>
      <c r="J91" s="66"/>
      <c r="N91" s="309"/>
    </row>
    <row r="92" spans="1:14" s="67" customFormat="1" ht="12" customHeight="1" outlineLevel="1">
      <c r="A92" s="63" t="str">
        <f>'FLUJO DE INGRESOS'!A35</f>
        <v>Casa 019</v>
      </c>
      <c r="B92" s="64">
        <f>'FLUJO DE INGRESOS'!E35</f>
        <v>52.44</v>
      </c>
      <c r="C92" s="64">
        <f>'FLUJO DE INGRESOS'!F35</f>
        <v>1.08</v>
      </c>
      <c r="D92" s="306">
        <v>0</v>
      </c>
      <c r="E92" s="306">
        <v>0</v>
      </c>
      <c r="F92" s="65">
        <v>1</v>
      </c>
      <c r="G92" s="307">
        <f>'FLUJO DE INGRESOS'!O35</f>
        <v>67293.245999999999</v>
      </c>
      <c r="H92" s="308">
        <f t="shared" si="9"/>
        <v>1</v>
      </c>
      <c r="I92" s="307">
        <f t="shared" si="10"/>
        <v>67293.245999999999</v>
      </c>
      <c r="J92" s="66"/>
      <c r="N92" s="309"/>
    </row>
    <row r="93" spans="1:14" s="67" customFormat="1" ht="12" customHeight="1" outlineLevel="1">
      <c r="A93" s="63" t="str">
        <f>'FLUJO DE INGRESOS'!A36</f>
        <v>Casa 020</v>
      </c>
      <c r="B93" s="64">
        <f>'FLUJO DE INGRESOS'!E36</f>
        <v>52.44</v>
      </c>
      <c r="C93" s="64">
        <f>'FLUJO DE INGRESOS'!F36</f>
        <v>1.08</v>
      </c>
      <c r="D93" s="306">
        <v>0</v>
      </c>
      <c r="E93" s="306">
        <v>0</v>
      </c>
      <c r="F93" s="65">
        <v>1</v>
      </c>
      <c r="G93" s="307">
        <f>'FLUJO DE INGRESOS'!O36</f>
        <v>67293.245999999999</v>
      </c>
      <c r="H93" s="308">
        <f t="shared" si="9"/>
        <v>1</v>
      </c>
      <c r="I93" s="307">
        <f t="shared" si="10"/>
        <v>67293.245999999999</v>
      </c>
      <c r="J93" s="66"/>
      <c r="N93" s="309"/>
    </row>
    <row r="94" spans="1:14" s="67" customFormat="1" ht="12" customHeight="1" outlineLevel="1">
      <c r="A94" s="63" t="str">
        <f>'FLUJO DE INGRESOS'!A37</f>
        <v>Casa 021</v>
      </c>
      <c r="B94" s="64">
        <f>'FLUJO DE INGRESOS'!E37</f>
        <v>52.44</v>
      </c>
      <c r="C94" s="64">
        <f>'FLUJO DE INGRESOS'!F37</f>
        <v>1.08</v>
      </c>
      <c r="D94" s="306">
        <v>0</v>
      </c>
      <c r="E94" s="306">
        <v>0</v>
      </c>
      <c r="F94" s="65">
        <v>1</v>
      </c>
      <c r="G94" s="307">
        <f>'FLUJO DE INGRESOS'!O37</f>
        <v>67293.245999999999</v>
      </c>
      <c r="H94" s="308">
        <f t="shared" si="9"/>
        <v>1</v>
      </c>
      <c r="I94" s="307">
        <f t="shared" si="10"/>
        <v>67293.245999999999</v>
      </c>
      <c r="J94" s="66"/>
      <c r="N94" s="309"/>
    </row>
    <row r="95" spans="1:14" s="67" customFormat="1" ht="12" customHeight="1" outlineLevel="1">
      <c r="A95" s="63" t="str">
        <f>'FLUJO DE INGRESOS'!A38</f>
        <v>Casa 022</v>
      </c>
      <c r="B95" s="64">
        <f>'FLUJO DE INGRESOS'!E38</f>
        <v>52.44</v>
      </c>
      <c r="C95" s="64">
        <f>'FLUJO DE INGRESOS'!F38</f>
        <v>1.08</v>
      </c>
      <c r="D95" s="306">
        <v>0</v>
      </c>
      <c r="E95" s="306">
        <v>0</v>
      </c>
      <c r="F95" s="65">
        <v>1</v>
      </c>
      <c r="G95" s="307">
        <f>'FLUJO DE INGRESOS'!O38</f>
        <v>67293.245999999999</v>
      </c>
      <c r="H95" s="308">
        <f t="shared" si="9"/>
        <v>1</v>
      </c>
      <c r="I95" s="307">
        <f t="shared" si="10"/>
        <v>67293.245999999999</v>
      </c>
      <c r="J95" s="66"/>
      <c r="N95" s="309"/>
    </row>
    <row r="96" spans="1:14" s="67" customFormat="1" ht="12" customHeight="1" outlineLevel="1">
      <c r="A96" s="63" t="str">
        <f>'FLUJO DE INGRESOS'!A39</f>
        <v>Casa 023</v>
      </c>
      <c r="B96" s="64">
        <f>'FLUJO DE INGRESOS'!E39</f>
        <v>52.44</v>
      </c>
      <c r="C96" s="64">
        <f>'FLUJO DE INGRESOS'!F39</f>
        <v>1.08</v>
      </c>
      <c r="D96" s="306">
        <v>0</v>
      </c>
      <c r="E96" s="306">
        <v>0</v>
      </c>
      <c r="F96" s="65">
        <v>1</v>
      </c>
      <c r="G96" s="307">
        <f>'FLUJO DE INGRESOS'!O39</f>
        <v>66293.245999999999</v>
      </c>
      <c r="H96" s="308">
        <f t="shared" si="9"/>
        <v>1</v>
      </c>
      <c r="I96" s="307">
        <f t="shared" si="10"/>
        <v>66293.245999999999</v>
      </c>
      <c r="J96" s="66"/>
      <c r="N96" s="309"/>
    </row>
    <row r="97" spans="1:14" s="67" customFormat="1" ht="12" customHeight="1" outlineLevel="1">
      <c r="A97" s="63" t="str">
        <f>'FLUJO DE INGRESOS'!A40</f>
        <v>Casa 024</v>
      </c>
      <c r="B97" s="64">
        <f>'FLUJO DE INGRESOS'!E40</f>
        <v>52.44</v>
      </c>
      <c r="C97" s="64">
        <f>'FLUJO DE INGRESOS'!F40</f>
        <v>1.08</v>
      </c>
      <c r="D97" s="306">
        <v>0</v>
      </c>
      <c r="E97" s="306">
        <v>0</v>
      </c>
      <c r="F97" s="65">
        <v>1</v>
      </c>
      <c r="G97" s="307">
        <f>'FLUJO DE INGRESOS'!O40</f>
        <v>66293.245999999999</v>
      </c>
      <c r="H97" s="308">
        <f t="shared" si="9"/>
        <v>1</v>
      </c>
      <c r="I97" s="307">
        <f t="shared" si="10"/>
        <v>66293.245999999999</v>
      </c>
      <c r="J97" s="66"/>
      <c r="N97" s="309"/>
    </row>
    <row r="98" spans="1:14" s="67" customFormat="1" ht="12" customHeight="1" outlineLevel="1">
      <c r="A98" s="63" t="str">
        <f>'FLUJO DE INGRESOS'!A41</f>
        <v>Casa 025</v>
      </c>
      <c r="B98" s="64">
        <f>'FLUJO DE INGRESOS'!E41</f>
        <v>52.44</v>
      </c>
      <c r="C98" s="64">
        <f>'FLUJO DE INGRESOS'!F41</f>
        <v>1.08</v>
      </c>
      <c r="D98" s="306">
        <v>0</v>
      </c>
      <c r="E98" s="306">
        <v>0</v>
      </c>
      <c r="F98" s="65">
        <v>1</v>
      </c>
      <c r="G98" s="307">
        <f>'FLUJO DE INGRESOS'!O41</f>
        <v>67293.245999999999</v>
      </c>
      <c r="H98" s="308">
        <f t="shared" si="9"/>
        <v>1</v>
      </c>
      <c r="I98" s="307">
        <f t="shared" si="10"/>
        <v>67293.245999999999</v>
      </c>
      <c r="J98" s="66"/>
      <c r="N98" s="309"/>
    </row>
    <row r="99" spans="1:14" s="67" customFormat="1" ht="12" customHeight="1" outlineLevel="1">
      <c r="A99" s="63" t="str">
        <f>'FLUJO DE INGRESOS'!A42</f>
        <v>Casa 026</v>
      </c>
      <c r="B99" s="64">
        <f>'FLUJO DE INGRESOS'!E42</f>
        <v>52.44</v>
      </c>
      <c r="C99" s="64">
        <f>'FLUJO DE INGRESOS'!F42</f>
        <v>1.08</v>
      </c>
      <c r="D99" s="306">
        <v>0</v>
      </c>
      <c r="E99" s="306">
        <v>0</v>
      </c>
      <c r="F99" s="65">
        <v>1</v>
      </c>
      <c r="G99" s="307">
        <f>'FLUJO DE INGRESOS'!O42</f>
        <v>67293.245999999999</v>
      </c>
      <c r="H99" s="308">
        <f t="shared" si="9"/>
        <v>1</v>
      </c>
      <c r="I99" s="307">
        <f t="shared" si="10"/>
        <v>67293.245999999999</v>
      </c>
      <c r="J99" s="66"/>
      <c r="N99" s="309"/>
    </row>
    <row r="100" spans="1:14" s="67" customFormat="1" ht="12" customHeight="1" outlineLevel="1">
      <c r="A100" s="63" t="str">
        <f>'FLUJO DE INGRESOS'!A43</f>
        <v>Casa 027</v>
      </c>
      <c r="B100" s="64">
        <f>'FLUJO DE INGRESOS'!E43</f>
        <v>52.44</v>
      </c>
      <c r="C100" s="64">
        <f>'FLUJO DE INGRESOS'!F43</f>
        <v>1.08</v>
      </c>
      <c r="D100" s="306">
        <v>0</v>
      </c>
      <c r="E100" s="306">
        <v>0</v>
      </c>
      <c r="F100" s="65">
        <v>1</v>
      </c>
      <c r="G100" s="307">
        <f>'FLUJO DE INGRESOS'!O43</f>
        <v>67293.245999999999</v>
      </c>
      <c r="H100" s="308">
        <f t="shared" si="9"/>
        <v>1</v>
      </c>
      <c r="I100" s="307">
        <f t="shared" si="10"/>
        <v>67293.245999999999</v>
      </c>
      <c r="J100" s="66"/>
      <c r="N100" s="309"/>
    </row>
    <row r="101" spans="1:14" s="67" customFormat="1" ht="12" customHeight="1" outlineLevel="1">
      <c r="A101" s="63" t="str">
        <f>'FLUJO DE INGRESOS'!A44</f>
        <v>Casa 028</v>
      </c>
      <c r="B101" s="64">
        <f>'FLUJO DE INGRESOS'!E44</f>
        <v>52.44</v>
      </c>
      <c r="C101" s="64">
        <f>'FLUJO DE INGRESOS'!F44</f>
        <v>1.08</v>
      </c>
      <c r="D101" s="306">
        <v>0</v>
      </c>
      <c r="E101" s="306">
        <v>0</v>
      </c>
      <c r="F101" s="65">
        <v>1</v>
      </c>
      <c r="G101" s="307">
        <f>'FLUJO DE INGRESOS'!O44</f>
        <v>67293.245999999999</v>
      </c>
      <c r="H101" s="308">
        <f t="shared" si="9"/>
        <v>1</v>
      </c>
      <c r="I101" s="307">
        <f t="shared" si="10"/>
        <v>67293.245999999999</v>
      </c>
      <c r="J101" s="66"/>
      <c r="N101" s="309"/>
    </row>
    <row r="102" spans="1:14" s="67" customFormat="1" ht="12" customHeight="1" outlineLevel="1">
      <c r="A102" s="63" t="str">
        <f>'FLUJO DE INGRESOS'!A45</f>
        <v>Casa 029</v>
      </c>
      <c r="B102" s="64">
        <f>'FLUJO DE INGRESOS'!E45</f>
        <v>52.44</v>
      </c>
      <c r="C102" s="64">
        <f>'FLUJO DE INGRESOS'!F45</f>
        <v>1.08</v>
      </c>
      <c r="D102" s="306">
        <v>0</v>
      </c>
      <c r="E102" s="306">
        <v>0</v>
      </c>
      <c r="F102" s="65">
        <v>1</v>
      </c>
      <c r="G102" s="307">
        <f>'FLUJO DE INGRESOS'!O45</f>
        <v>67293.245999999999</v>
      </c>
      <c r="H102" s="308">
        <f t="shared" si="9"/>
        <v>1</v>
      </c>
      <c r="I102" s="307">
        <f t="shared" si="10"/>
        <v>67293.245999999999</v>
      </c>
      <c r="J102" s="66"/>
      <c r="N102" s="309"/>
    </row>
    <row r="103" spans="1:14" s="67" customFormat="1" ht="12" customHeight="1" outlineLevel="1">
      <c r="A103" s="63" t="str">
        <f>'FLUJO DE INGRESOS'!A46</f>
        <v>Casa 030</v>
      </c>
      <c r="B103" s="64">
        <f>'FLUJO DE INGRESOS'!E46</f>
        <v>52.44</v>
      </c>
      <c r="C103" s="64">
        <f>'FLUJO DE INGRESOS'!F46</f>
        <v>1.08</v>
      </c>
      <c r="D103" s="306">
        <v>0</v>
      </c>
      <c r="E103" s="306">
        <v>0</v>
      </c>
      <c r="F103" s="65">
        <v>1</v>
      </c>
      <c r="G103" s="307">
        <f>'FLUJO DE INGRESOS'!O46</f>
        <v>67293.245999999999</v>
      </c>
      <c r="H103" s="308">
        <f t="shared" si="9"/>
        <v>1</v>
      </c>
      <c r="I103" s="307">
        <f t="shared" si="10"/>
        <v>67293.245999999999</v>
      </c>
      <c r="J103" s="66"/>
      <c r="N103" s="309"/>
    </row>
    <row r="104" spans="1:14" s="67" customFormat="1" ht="12" customHeight="1" outlineLevel="1">
      <c r="A104" s="63" t="str">
        <f>'FLUJO DE INGRESOS'!A47</f>
        <v>Casa 031</v>
      </c>
      <c r="B104" s="64">
        <f>'FLUJO DE INGRESOS'!E47</f>
        <v>52.44</v>
      </c>
      <c r="C104" s="64">
        <f>'FLUJO DE INGRESOS'!F47</f>
        <v>1.08</v>
      </c>
      <c r="D104" s="306">
        <v>0</v>
      </c>
      <c r="E104" s="306">
        <v>0</v>
      </c>
      <c r="F104" s="65">
        <v>1</v>
      </c>
      <c r="G104" s="307">
        <f>'FLUJO DE INGRESOS'!O47</f>
        <v>67293.245999999999</v>
      </c>
      <c r="H104" s="308">
        <f t="shared" si="9"/>
        <v>1</v>
      </c>
      <c r="I104" s="307">
        <f t="shared" si="10"/>
        <v>67293.245999999999</v>
      </c>
      <c r="J104" s="66"/>
      <c r="N104" s="309"/>
    </row>
    <row r="105" spans="1:14" s="67" customFormat="1" ht="12" customHeight="1" outlineLevel="1">
      <c r="A105" s="63" t="str">
        <f>'FLUJO DE INGRESOS'!A48</f>
        <v>Casa 032</v>
      </c>
      <c r="B105" s="64">
        <f>'FLUJO DE INGRESOS'!E48</f>
        <v>52.44</v>
      </c>
      <c r="C105" s="64">
        <f>'FLUJO DE INGRESOS'!F48</f>
        <v>1.08</v>
      </c>
      <c r="D105" s="306">
        <v>0</v>
      </c>
      <c r="E105" s="306">
        <v>0</v>
      </c>
      <c r="F105" s="65">
        <v>1</v>
      </c>
      <c r="G105" s="307">
        <f>'FLUJO DE INGRESOS'!O48</f>
        <v>66293.245999999999</v>
      </c>
      <c r="H105" s="308">
        <f t="shared" si="9"/>
        <v>1</v>
      </c>
      <c r="I105" s="307">
        <f t="shared" si="10"/>
        <v>66293.245999999999</v>
      </c>
      <c r="J105" s="66"/>
      <c r="N105" s="309"/>
    </row>
    <row r="106" spans="1:14" s="67" customFormat="1" ht="12" customHeight="1" outlineLevel="1">
      <c r="A106" s="63" t="str">
        <f>'FLUJO DE INGRESOS'!A49</f>
        <v>Casa 033</v>
      </c>
      <c r="B106" s="64">
        <f>'FLUJO DE INGRESOS'!E49</f>
        <v>52.44</v>
      </c>
      <c r="C106" s="64">
        <f>'FLUJO DE INGRESOS'!F49</f>
        <v>1.08</v>
      </c>
      <c r="D106" s="306">
        <v>0</v>
      </c>
      <c r="E106" s="306">
        <v>0</v>
      </c>
      <c r="F106" s="65">
        <v>1</v>
      </c>
      <c r="G106" s="307">
        <f>'FLUJO DE INGRESOS'!O49</f>
        <v>67293.245999999999</v>
      </c>
      <c r="H106" s="308">
        <f t="shared" ref="H106:H137" si="11">+D106+F106</f>
        <v>1</v>
      </c>
      <c r="I106" s="307">
        <f t="shared" ref="I106:I137" si="12">+G106+E106</f>
        <v>67293.245999999999</v>
      </c>
      <c r="J106" s="66"/>
      <c r="N106" s="309"/>
    </row>
    <row r="107" spans="1:14" s="67" customFormat="1" ht="12" customHeight="1" outlineLevel="1">
      <c r="A107" s="63" t="str">
        <f>'FLUJO DE INGRESOS'!A50</f>
        <v>Casa 034</v>
      </c>
      <c r="B107" s="64">
        <f>'FLUJO DE INGRESOS'!E50</f>
        <v>52.44</v>
      </c>
      <c r="C107" s="64">
        <f>'FLUJO DE INGRESOS'!F50</f>
        <v>1.08</v>
      </c>
      <c r="D107" s="306">
        <v>0</v>
      </c>
      <c r="E107" s="306">
        <v>0</v>
      </c>
      <c r="F107" s="65">
        <v>1</v>
      </c>
      <c r="G107" s="307">
        <f>'FLUJO DE INGRESOS'!O50</f>
        <v>67293.245999999999</v>
      </c>
      <c r="H107" s="308">
        <f t="shared" si="11"/>
        <v>1</v>
      </c>
      <c r="I107" s="307">
        <f t="shared" si="12"/>
        <v>67293.245999999999</v>
      </c>
      <c r="J107" s="66"/>
      <c r="N107" s="309"/>
    </row>
    <row r="108" spans="1:14" s="67" customFormat="1" ht="12" customHeight="1" outlineLevel="1">
      <c r="A108" s="63" t="str">
        <f>'FLUJO DE INGRESOS'!A51</f>
        <v>Casa 035</v>
      </c>
      <c r="B108" s="64">
        <f>'FLUJO DE INGRESOS'!E51</f>
        <v>74.010000000000005</v>
      </c>
      <c r="C108" s="64">
        <f>'FLUJO DE INGRESOS'!F51</f>
        <v>1.08</v>
      </c>
      <c r="D108" s="306">
        <v>0</v>
      </c>
      <c r="E108" s="306">
        <v>0</v>
      </c>
      <c r="F108" s="65">
        <v>1</v>
      </c>
      <c r="G108" s="307">
        <f>'FLUJO DE INGRESOS'!O51</f>
        <v>80990.306000000011</v>
      </c>
      <c r="H108" s="308">
        <f t="shared" si="11"/>
        <v>1</v>
      </c>
      <c r="I108" s="307">
        <f t="shared" si="12"/>
        <v>80990.306000000011</v>
      </c>
      <c r="J108" s="66"/>
      <c r="N108" s="309"/>
    </row>
    <row r="109" spans="1:14" s="67" customFormat="1" ht="12" customHeight="1" outlineLevel="1">
      <c r="A109" s="63" t="str">
        <f>'FLUJO DE INGRESOS'!A52</f>
        <v>Casa 036</v>
      </c>
      <c r="B109" s="64">
        <f>'FLUJO DE INGRESOS'!E52</f>
        <v>74.010000000000005</v>
      </c>
      <c r="C109" s="64">
        <f>'FLUJO DE INGRESOS'!F52</f>
        <v>1.08</v>
      </c>
      <c r="D109" s="306">
        <v>0</v>
      </c>
      <c r="E109" s="306">
        <v>0</v>
      </c>
      <c r="F109" s="65">
        <v>1</v>
      </c>
      <c r="G109" s="307">
        <f>'FLUJO DE INGRESOS'!O52</f>
        <v>80990.306000000011</v>
      </c>
      <c r="H109" s="308">
        <f t="shared" si="11"/>
        <v>1</v>
      </c>
      <c r="I109" s="307">
        <f t="shared" si="12"/>
        <v>80990.306000000011</v>
      </c>
      <c r="J109" s="66"/>
      <c r="N109" s="309"/>
    </row>
    <row r="110" spans="1:14" s="67" customFormat="1" ht="12" customHeight="1" outlineLevel="1">
      <c r="A110" s="63" t="str">
        <f>'FLUJO DE INGRESOS'!A53</f>
        <v>Casa 037</v>
      </c>
      <c r="B110" s="64">
        <f>'FLUJO DE INGRESOS'!E53</f>
        <v>74.010000000000005</v>
      </c>
      <c r="C110" s="64">
        <f>'FLUJO DE INGRESOS'!F53</f>
        <v>1.08</v>
      </c>
      <c r="D110" s="306">
        <v>0</v>
      </c>
      <c r="E110" s="306">
        <v>0</v>
      </c>
      <c r="F110" s="65">
        <v>1</v>
      </c>
      <c r="G110" s="307">
        <f>'FLUJO DE INGRESOS'!O53</f>
        <v>80990.306000000011</v>
      </c>
      <c r="H110" s="308">
        <f t="shared" si="11"/>
        <v>1</v>
      </c>
      <c r="I110" s="307">
        <f t="shared" si="12"/>
        <v>80990.306000000011</v>
      </c>
      <c r="J110" s="66"/>
      <c r="N110" s="309"/>
    </row>
    <row r="111" spans="1:14" s="67" customFormat="1" ht="12" customHeight="1" outlineLevel="1">
      <c r="A111" s="63" t="str">
        <f>'FLUJO DE INGRESOS'!A54</f>
        <v>Casa 038</v>
      </c>
      <c r="B111" s="64">
        <f>'FLUJO DE INGRESOS'!E54</f>
        <v>74.010000000000005</v>
      </c>
      <c r="C111" s="64">
        <f>'FLUJO DE INGRESOS'!F54</f>
        <v>1.08</v>
      </c>
      <c r="D111" s="306">
        <v>0</v>
      </c>
      <c r="E111" s="306">
        <v>0</v>
      </c>
      <c r="F111" s="65">
        <v>1</v>
      </c>
      <c r="G111" s="307">
        <f>'FLUJO DE INGRESOS'!O54</f>
        <v>80990.306000000011</v>
      </c>
      <c r="H111" s="308">
        <f t="shared" si="11"/>
        <v>1</v>
      </c>
      <c r="I111" s="307">
        <f t="shared" si="12"/>
        <v>80990.306000000011</v>
      </c>
      <c r="J111" s="66"/>
      <c r="N111" s="309"/>
    </row>
    <row r="112" spans="1:14" s="67" customFormat="1" ht="12" customHeight="1" outlineLevel="1">
      <c r="A112" s="63" t="str">
        <f>'FLUJO DE INGRESOS'!A55</f>
        <v>Casa 039</v>
      </c>
      <c r="B112" s="64">
        <f>'FLUJO DE INGRESOS'!E55</f>
        <v>74.010000000000005</v>
      </c>
      <c r="C112" s="64">
        <f>'FLUJO DE INGRESOS'!F55</f>
        <v>1.08</v>
      </c>
      <c r="D112" s="306">
        <v>0</v>
      </c>
      <c r="E112" s="306">
        <v>0</v>
      </c>
      <c r="F112" s="65">
        <v>1</v>
      </c>
      <c r="G112" s="307">
        <f>'FLUJO DE INGRESOS'!O55</f>
        <v>80990.306000000011</v>
      </c>
      <c r="H112" s="308">
        <f t="shared" si="11"/>
        <v>1</v>
      </c>
      <c r="I112" s="307">
        <f t="shared" si="12"/>
        <v>80990.306000000011</v>
      </c>
      <c r="J112" s="66"/>
      <c r="N112" s="309"/>
    </row>
    <row r="113" spans="1:14" s="67" customFormat="1" ht="12" customHeight="1" outlineLevel="1">
      <c r="A113" s="63" t="str">
        <f>'FLUJO DE INGRESOS'!A56</f>
        <v>Casa 040</v>
      </c>
      <c r="B113" s="64">
        <f>'FLUJO DE INGRESOS'!E56</f>
        <v>74.010000000000005</v>
      </c>
      <c r="C113" s="64">
        <f>'FLUJO DE INGRESOS'!F56</f>
        <v>1.08</v>
      </c>
      <c r="D113" s="306">
        <v>0</v>
      </c>
      <c r="E113" s="306">
        <v>0</v>
      </c>
      <c r="F113" s="65">
        <v>1</v>
      </c>
      <c r="G113" s="307">
        <f>'FLUJO DE INGRESOS'!O56</f>
        <v>81990.306000000011</v>
      </c>
      <c r="H113" s="308">
        <f t="shared" si="11"/>
        <v>1</v>
      </c>
      <c r="I113" s="307">
        <f t="shared" si="12"/>
        <v>81990.306000000011</v>
      </c>
      <c r="J113" s="66"/>
      <c r="N113" s="309"/>
    </row>
    <row r="114" spans="1:14" s="67" customFormat="1" ht="12" customHeight="1" outlineLevel="1">
      <c r="A114" s="63" t="str">
        <f>'FLUJO DE INGRESOS'!A57</f>
        <v>Casa 041</v>
      </c>
      <c r="B114" s="64">
        <f>'FLUJO DE INGRESOS'!E57</f>
        <v>74.010000000000005</v>
      </c>
      <c r="C114" s="64">
        <f>'FLUJO DE INGRESOS'!F57</f>
        <v>1.08</v>
      </c>
      <c r="D114" s="306">
        <v>0</v>
      </c>
      <c r="E114" s="306">
        <v>0</v>
      </c>
      <c r="F114" s="65">
        <v>1</v>
      </c>
      <c r="G114" s="307">
        <f>'FLUJO DE INGRESOS'!O57</f>
        <v>81990.306000000011</v>
      </c>
      <c r="H114" s="308">
        <f t="shared" si="11"/>
        <v>1</v>
      </c>
      <c r="I114" s="307">
        <f t="shared" si="12"/>
        <v>81990.306000000011</v>
      </c>
      <c r="J114" s="66"/>
      <c r="N114" s="309"/>
    </row>
    <row r="115" spans="1:14" s="67" customFormat="1" ht="12" customHeight="1" outlineLevel="1">
      <c r="A115" s="63" t="str">
        <f>'FLUJO DE INGRESOS'!A58</f>
        <v>Casa 042</v>
      </c>
      <c r="B115" s="64">
        <f>'FLUJO DE INGRESOS'!E58</f>
        <v>74.010000000000005</v>
      </c>
      <c r="C115" s="64">
        <f>'FLUJO DE INGRESOS'!F58</f>
        <v>1.08</v>
      </c>
      <c r="D115" s="306">
        <v>0</v>
      </c>
      <c r="E115" s="306">
        <v>0</v>
      </c>
      <c r="F115" s="65">
        <v>1</v>
      </c>
      <c r="G115" s="307">
        <f>'FLUJO DE INGRESOS'!O58</f>
        <v>81990.306000000011</v>
      </c>
      <c r="H115" s="308">
        <f t="shared" si="11"/>
        <v>1</v>
      </c>
      <c r="I115" s="307">
        <f t="shared" si="12"/>
        <v>81990.306000000011</v>
      </c>
      <c r="J115" s="66"/>
      <c r="N115" s="309"/>
    </row>
    <row r="116" spans="1:14" s="67" customFormat="1" ht="12" customHeight="1" outlineLevel="1">
      <c r="A116" s="63" t="str">
        <f>'FLUJO DE INGRESOS'!A59</f>
        <v>Casa 043</v>
      </c>
      <c r="B116" s="64">
        <f>'FLUJO DE INGRESOS'!E59</f>
        <v>74.010000000000005</v>
      </c>
      <c r="C116" s="64">
        <f>'FLUJO DE INGRESOS'!F59</f>
        <v>1.08</v>
      </c>
      <c r="D116" s="306">
        <v>0</v>
      </c>
      <c r="E116" s="306">
        <v>0</v>
      </c>
      <c r="F116" s="65">
        <v>1</v>
      </c>
      <c r="G116" s="307">
        <f>'FLUJO DE INGRESOS'!O59</f>
        <v>81990.306000000011</v>
      </c>
      <c r="H116" s="308">
        <f t="shared" si="11"/>
        <v>1</v>
      </c>
      <c r="I116" s="307">
        <f t="shared" si="12"/>
        <v>81990.306000000011</v>
      </c>
      <c r="J116" s="66"/>
      <c r="N116" s="309"/>
    </row>
    <row r="117" spans="1:14" s="67" customFormat="1" ht="12" customHeight="1" outlineLevel="1">
      <c r="A117" s="63" t="str">
        <f>'FLUJO DE INGRESOS'!A60</f>
        <v>Casa 044</v>
      </c>
      <c r="B117" s="64">
        <f>'FLUJO DE INGRESOS'!E60</f>
        <v>74.010000000000005</v>
      </c>
      <c r="C117" s="64">
        <f>'FLUJO DE INGRESOS'!F60</f>
        <v>1.08</v>
      </c>
      <c r="D117" s="306">
        <v>0</v>
      </c>
      <c r="E117" s="306">
        <v>0</v>
      </c>
      <c r="F117" s="65">
        <v>1</v>
      </c>
      <c r="G117" s="307">
        <f>'FLUJO DE INGRESOS'!O60</f>
        <v>82990.306000000011</v>
      </c>
      <c r="H117" s="308">
        <f t="shared" si="11"/>
        <v>1</v>
      </c>
      <c r="I117" s="307">
        <f t="shared" si="12"/>
        <v>82990.306000000011</v>
      </c>
      <c r="J117" s="66"/>
      <c r="N117" s="309"/>
    </row>
    <row r="118" spans="1:14" s="67" customFormat="1" ht="12" customHeight="1" outlineLevel="1">
      <c r="A118" s="63" t="str">
        <f>'FLUJO DE INGRESOS'!A61</f>
        <v>Casa 045</v>
      </c>
      <c r="B118" s="64">
        <f>'FLUJO DE INGRESOS'!E61</f>
        <v>74.010000000000005</v>
      </c>
      <c r="C118" s="64">
        <f>'FLUJO DE INGRESOS'!F61</f>
        <v>1.08</v>
      </c>
      <c r="D118" s="306">
        <v>0</v>
      </c>
      <c r="E118" s="306">
        <v>0</v>
      </c>
      <c r="F118" s="65">
        <v>1</v>
      </c>
      <c r="G118" s="307">
        <f>'FLUJO DE INGRESOS'!O61</f>
        <v>82990.306000000011</v>
      </c>
      <c r="H118" s="308">
        <f t="shared" si="11"/>
        <v>1</v>
      </c>
      <c r="I118" s="307">
        <f t="shared" si="12"/>
        <v>82990.306000000011</v>
      </c>
      <c r="J118" s="66"/>
      <c r="N118" s="309"/>
    </row>
    <row r="119" spans="1:14" s="67" customFormat="1" ht="12" customHeight="1" outlineLevel="1">
      <c r="A119" s="63" t="str">
        <f>'FLUJO DE INGRESOS'!A62</f>
        <v>Casa 046</v>
      </c>
      <c r="B119" s="64">
        <f>'FLUJO DE INGRESOS'!E62</f>
        <v>74.010000000000005</v>
      </c>
      <c r="C119" s="64">
        <f>'FLUJO DE INGRESOS'!F62</f>
        <v>1.08</v>
      </c>
      <c r="D119" s="306">
        <v>0</v>
      </c>
      <c r="E119" s="306">
        <v>0</v>
      </c>
      <c r="F119" s="65">
        <v>1</v>
      </c>
      <c r="G119" s="307">
        <f>'FLUJO DE INGRESOS'!O62</f>
        <v>82990.306000000011</v>
      </c>
      <c r="H119" s="308">
        <f t="shared" si="11"/>
        <v>1</v>
      </c>
      <c r="I119" s="307">
        <f t="shared" si="12"/>
        <v>82990.306000000011</v>
      </c>
      <c r="J119" s="66"/>
      <c r="N119" s="309"/>
    </row>
    <row r="120" spans="1:14" s="67" customFormat="1" ht="12" customHeight="1" outlineLevel="1">
      <c r="A120" s="63" t="str">
        <f>'FLUJO DE INGRESOS'!A63</f>
        <v>Casa 047</v>
      </c>
      <c r="B120" s="64">
        <f>'FLUJO DE INGRESOS'!E63</f>
        <v>74.010000000000005</v>
      </c>
      <c r="C120" s="64">
        <f>'FLUJO DE INGRESOS'!F63</f>
        <v>1.08</v>
      </c>
      <c r="D120" s="306">
        <v>0</v>
      </c>
      <c r="E120" s="306">
        <v>0</v>
      </c>
      <c r="F120" s="65">
        <v>1</v>
      </c>
      <c r="G120" s="307">
        <f>'FLUJO DE INGRESOS'!O63</f>
        <v>82990.306000000011</v>
      </c>
      <c r="H120" s="308">
        <f t="shared" si="11"/>
        <v>1</v>
      </c>
      <c r="I120" s="307">
        <f t="shared" si="12"/>
        <v>82990.306000000011</v>
      </c>
      <c r="J120" s="66"/>
      <c r="N120" s="309"/>
    </row>
    <row r="121" spans="1:14" s="67" customFormat="1" ht="12" customHeight="1" outlineLevel="1">
      <c r="A121" s="63" t="str">
        <f>'FLUJO DE INGRESOS'!A64</f>
        <v>Casa 048</v>
      </c>
      <c r="B121" s="64">
        <f>'FLUJO DE INGRESOS'!E64</f>
        <v>74.010000000000005</v>
      </c>
      <c r="C121" s="64">
        <f>'FLUJO DE INGRESOS'!F64</f>
        <v>1.08</v>
      </c>
      <c r="D121" s="306">
        <v>0</v>
      </c>
      <c r="E121" s="306">
        <v>0</v>
      </c>
      <c r="F121" s="65">
        <v>1</v>
      </c>
      <c r="G121" s="307">
        <f>'FLUJO DE INGRESOS'!O64</f>
        <v>82990.306000000011</v>
      </c>
      <c r="H121" s="308">
        <f t="shared" si="11"/>
        <v>1</v>
      </c>
      <c r="I121" s="307">
        <f t="shared" si="12"/>
        <v>82990.306000000011</v>
      </c>
      <c r="J121" s="66"/>
      <c r="N121" s="309"/>
    </row>
    <row r="122" spans="1:14" s="67" customFormat="1" ht="12" customHeight="1" outlineLevel="1">
      <c r="A122" s="63" t="str">
        <f>'FLUJO DE INGRESOS'!A65</f>
        <v>Casa 049</v>
      </c>
      <c r="B122" s="64">
        <f>'FLUJO DE INGRESOS'!E65</f>
        <v>74.010000000000005</v>
      </c>
      <c r="C122" s="64">
        <f>'FLUJO DE INGRESOS'!F65</f>
        <v>1.08</v>
      </c>
      <c r="D122" s="306">
        <v>0</v>
      </c>
      <c r="E122" s="306">
        <v>0</v>
      </c>
      <c r="F122" s="65">
        <v>1</v>
      </c>
      <c r="G122" s="307">
        <f>'FLUJO DE INGRESOS'!O65</f>
        <v>82990.306000000011</v>
      </c>
      <c r="H122" s="308">
        <f t="shared" si="11"/>
        <v>1</v>
      </c>
      <c r="I122" s="307">
        <f t="shared" si="12"/>
        <v>82990.306000000011</v>
      </c>
      <c r="J122" s="66"/>
      <c r="N122" s="309"/>
    </row>
    <row r="123" spans="1:14" s="67" customFormat="1" ht="12" customHeight="1" outlineLevel="1">
      <c r="A123" s="63" t="str">
        <f>'FLUJO DE INGRESOS'!A66</f>
        <v>Casa 050</v>
      </c>
      <c r="B123" s="64">
        <f>'FLUJO DE INGRESOS'!E66</f>
        <v>74.010000000000005</v>
      </c>
      <c r="C123" s="64">
        <f>'FLUJO DE INGRESOS'!F66</f>
        <v>1.08</v>
      </c>
      <c r="D123" s="306">
        <v>0</v>
      </c>
      <c r="E123" s="306">
        <v>0</v>
      </c>
      <c r="F123" s="65">
        <v>1</v>
      </c>
      <c r="G123" s="307">
        <f>'FLUJO DE INGRESOS'!O66</f>
        <v>82990.306000000011</v>
      </c>
      <c r="H123" s="308">
        <f t="shared" si="11"/>
        <v>1</v>
      </c>
      <c r="I123" s="307">
        <f t="shared" si="12"/>
        <v>82990.306000000011</v>
      </c>
      <c r="J123" s="66"/>
      <c r="N123" s="309"/>
    </row>
    <row r="124" spans="1:14" s="67" customFormat="1" ht="12" customHeight="1" outlineLevel="1">
      <c r="A124" s="63" t="str">
        <f>'FLUJO DE INGRESOS'!A67</f>
        <v>Casa 051</v>
      </c>
      <c r="B124" s="64">
        <f>'FLUJO DE INGRESOS'!E67</f>
        <v>74.010000000000005</v>
      </c>
      <c r="C124" s="64">
        <f>'FLUJO DE INGRESOS'!F67</f>
        <v>1.08</v>
      </c>
      <c r="D124" s="306">
        <v>0</v>
      </c>
      <c r="E124" s="306">
        <v>0</v>
      </c>
      <c r="F124" s="65">
        <v>1</v>
      </c>
      <c r="G124" s="307">
        <f>'FLUJO DE INGRESOS'!O67</f>
        <v>82990.306000000011</v>
      </c>
      <c r="H124" s="308">
        <f t="shared" si="11"/>
        <v>1</v>
      </c>
      <c r="I124" s="307">
        <f t="shared" si="12"/>
        <v>82990.306000000011</v>
      </c>
      <c r="J124" s="66"/>
      <c r="N124" s="309"/>
    </row>
    <row r="125" spans="1:14" s="67" customFormat="1" ht="12" customHeight="1" outlineLevel="1">
      <c r="A125" s="63" t="str">
        <f>'FLUJO DE INGRESOS'!A68</f>
        <v>Casa 052</v>
      </c>
      <c r="B125" s="64">
        <f>'FLUJO DE INGRESOS'!E68</f>
        <v>74.010000000000005</v>
      </c>
      <c r="C125" s="64">
        <f>'FLUJO DE INGRESOS'!F68</f>
        <v>1.08</v>
      </c>
      <c r="D125" s="306">
        <v>0</v>
      </c>
      <c r="E125" s="306">
        <v>0</v>
      </c>
      <c r="F125" s="65">
        <v>1</v>
      </c>
      <c r="G125" s="307">
        <f>'FLUJO DE INGRESOS'!O68</f>
        <v>82990.306000000011</v>
      </c>
      <c r="H125" s="308">
        <f t="shared" si="11"/>
        <v>1</v>
      </c>
      <c r="I125" s="307">
        <f t="shared" si="12"/>
        <v>82990.306000000011</v>
      </c>
      <c r="J125" s="66"/>
      <c r="N125" s="309"/>
    </row>
    <row r="126" spans="1:14" s="67" customFormat="1" ht="12" customHeight="1" outlineLevel="1">
      <c r="A126" s="63" t="str">
        <f>'FLUJO DE INGRESOS'!A69</f>
        <v>Departamento 01</v>
      </c>
      <c r="B126" s="64">
        <f>'FLUJO DE INGRESOS'!E69</f>
        <v>64.61</v>
      </c>
      <c r="C126" s="64">
        <f>'FLUJO DE INGRESOS'!F69</f>
        <v>0</v>
      </c>
      <c r="D126" s="306">
        <v>0</v>
      </c>
      <c r="E126" s="306">
        <v>0</v>
      </c>
      <c r="F126" s="65">
        <v>1</v>
      </c>
      <c r="G126" s="307">
        <f>'FLUJO DE INGRESOS'!O69</f>
        <v>66056.45</v>
      </c>
      <c r="H126" s="308">
        <f t="shared" si="11"/>
        <v>1</v>
      </c>
      <c r="I126" s="307">
        <f t="shared" si="12"/>
        <v>66056.45</v>
      </c>
      <c r="J126" s="66"/>
      <c r="N126" s="309"/>
    </row>
    <row r="127" spans="1:14" s="67" customFormat="1" ht="12" customHeight="1" outlineLevel="1">
      <c r="A127" s="63" t="str">
        <f>'FLUJO DE INGRESOS'!A70</f>
        <v>Departamento 02</v>
      </c>
      <c r="B127" s="64">
        <f>'FLUJO DE INGRESOS'!E70</f>
        <v>64.61</v>
      </c>
      <c r="C127" s="64">
        <f>'FLUJO DE INGRESOS'!F70</f>
        <v>0</v>
      </c>
      <c r="D127" s="306">
        <v>0</v>
      </c>
      <c r="E127" s="306">
        <v>0</v>
      </c>
      <c r="F127" s="65">
        <v>1</v>
      </c>
      <c r="G127" s="307">
        <f>'FLUJO DE INGRESOS'!O70</f>
        <v>66056.45</v>
      </c>
      <c r="H127" s="308">
        <f t="shared" si="11"/>
        <v>1</v>
      </c>
      <c r="I127" s="307">
        <f t="shared" si="12"/>
        <v>66056.45</v>
      </c>
      <c r="J127" s="66"/>
      <c r="N127" s="309"/>
    </row>
    <row r="128" spans="1:14" s="67" customFormat="1" ht="12" customHeight="1" outlineLevel="1">
      <c r="A128" s="63" t="str">
        <f>'FLUJO DE INGRESOS'!A71</f>
        <v>Departamento 03</v>
      </c>
      <c r="B128" s="64">
        <f>'FLUJO DE INGRESOS'!E71</f>
        <v>64.61</v>
      </c>
      <c r="C128" s="64">
        <f>'FLUJO DE INGRESOS'!F71</f>
        <v>0</v>
      </c>
      <c r="D128" s="306">
        <v>0</v>
      </c>
      <c r="E128" s="306">
        <v>0</v>
      </c>
      <c r="F128" s="65">
        <v>1</v>
      </c>
      <c r="G128" s="307">
        <f>'FLUJO DE INGRESOS'!O71</f>
        <v>66056.45</v>
      </c>
      <c r="H128" s="308">
        <f t="shared" si="11"/>
        <v>1</v>
      </c>
      <c r="I128" s="307">
        <f t="shared" si="12"/>
        <v>66056.45</v>
      </c>
      <c r="J128" s="66"/>
      <c r="N128" s="309"/>
    </row>
    <row r="129" spans="1:14" s="67" customFormat="1" ht="12" customHeight="1" outlineLevel="1">
      <c r="A129" s="63" t="str">
        <f>'FLUJO DE INGRESOS'!A72</f>
        <v>Departamento 04</v>
      </c>
      <c r="B129" s="64">
        <f>'FLUJO DE INGRESOS'!E72</f>
        <v>64.61</v>
      </c>
      <c r="C129" s="64">
        <f>'FLUJO DE INGRESOS'!F72</f>
        <v>0</v>
      </c>
      <c r="D129" s="306">
        <v>0</v>
      </c>
      <c r="E129" s="306">
        <v>0</v>
      </c>
      <c r="F129" s="65">
        <v>1</v>
      </c>
      <c r="G129" s="307">
        <f>'FLUJO DE INGRESOS'!O72</f>
        <v>66056.45</v>
      </c>
      <c r="H129" s="308">
        <f t="shared" si="11"/>
        <v>1</v>
      </c>
      <c r="I129" s="307">
        <f t="shared" si="12"/>
        <v>66056.45</v>
      </c>
      <c r="J129" s="66"/>
      <c r="N129" s="309"/>
    </row>
    <row r="130" spans="1:14" s="67" customFormat="1" ht="12" customHeight="1" outlineLevel="1">
      <c r="A130" s="63" t="str">
        <f>'FLUJO DE INGRESOS'!A73</f>
        <v>Departamento 05</v>
      </c>
      <c r="B130" s="64">
        <f>'FLUJO DE INGRESOS'!E73</f>
        <v>64.61</v>
      </c>
      <c r="C130" s="64">
        <f>'FLUJO DE INGRESOS'!F73</f>
        <v>0</v>
      </c>
      <c r="D130" s="306">
        <v>0</v>
      </c>
      <c r="E130" s="306">
        <v>0</v>
      </c>
      <c r="F130" s="65">
        <v>1</v>
      </c>
      <c r="G130" s="307">
        <f>'FLUJO DE INGRESOS'!O73</f>
        <v>66056.45</v>
      </c>
      <c r="H130" s="308">
        <f t="shared" si="11"/>
        <v>1</v>
      </c>
      <c r="I130" s="307">
        <f t="shared" si="12"/>
        <v>66056.45</v>
      </c>
      <c r="J130" s="66"/>
      <c r="N130" s="309"/>
    </row>
    <row r="131" spans="1:14" s="67" customFormat="1" ht="12" customHeight="1" outlineLevel="1">
      <c r="A131" s="63" t="str">
        <f>'FLUJO DE INGRESOS'!A74</f>
        <v>Departamento 06</v>
      </c>
      <c r="B131" s="64">
        <f>'FLUJO DE INGRESOS'!E74</f>
        <v>64.61</v>
      </c>
      <c r="C131" s="64">
        <f>'FLUJO DE INGRESOS'!F74</f>
        <v>0</v>
      </c>
      <c r="D131" s="306">
        <v>0</v>
      </c>
      <c r="E131" s="306">
        <v>0</v>
      </c>
      <c r="F131" s="65">
        <v>1</v>
      </c>
      <c r="G131" s="307">
        <f>'FLUJO DE INGRESOS'!O74</f>
        <v>66056.45</v>
      </c>
      <c r="H131" s="308">
        <f t="shared" si="11"/>
        <v>1</v>
      </c>
      <c r="I131" s="307">
        <f t="shared" si="12"/>
        <v>66056.45</v>
      </c>
      <c r="J131" s="66"/>
      <c r="N131" s="309"/>
    </row>
    <row r="132" spans="1:14" s="67" customFormat="1" ht="12" customHeight="1" outlineLevel="1">
      <c r="A132" s="63" t="str">
        <f>'FLUJO DE INGRESOS'!A75</f>
        <v>Departamento 07</v>
      </c>
      <c r="B132" s="64">
        <f>'FLUJO DE INGRESOS'!E75</f>
        <v>64.61</v>
      </c>
      <c r="C132" s="64">
        <f>'FLUJO DE INGRESOS'!F75</f>
        <v>0</v>
      </c>
      <c r="D132" s="306">
        <v>0</v>
      </c>
      <c r="E132" s="306">
        <v>0</v>
      </c>
      <c r="F132" s="65">
        <v>1</v>
      </c>
      <c r="G132" s="307">
        <f>'FLUJO DE INGRESOS'!O75</f>
        <v>61056.45</v>
      </c>
      <c r="H132" s="308">
        <f t="shared" si="11"/>
        <v>1</v>
      </c>
      <c r="I132" s="307">
        <f t="shared" si="12"/>
        <v>61056.45</v>
      </c>
      <c r="J132" s="66"/>
      <c r="N132" s="309"/>
    </row>
    <row r="133" spans="1:14" s="67" customFormat="1" ht="12" customHeight="1" outlineLevel="1">
      <c r="A133" s="63" t="str">
        <f>'FLUJO DE INGRESOS'!A76</f>
        <v>Departamento 08</v>
      </c>
      <c r="B133" s="64">
        <f>'FLUJO DE INGRESOS'!E76</f>
        <v>64.61</v>
      </c>
      <c r="C133" s="64">
        <f>'FLUJO DE INGRESOS'!F76</f>
        <v>0</v>
      </c>
      <c r="D133" s="306">
        <v>0</v>
      </c>
      <c r="E133" s="306">
        <v>0</v>
      </c>
      <c r="F133" s="65">
        <v>1</v>
      </c>
      <c r="G133" s="307">
        <f>'FLUJO DE INGRESOS'!O76</f>
        <v>61056.45</v>
      </c>
      <c r="H133" s="308">
        <f t="shared" si="11"/>
        <v>1</v>
      </c>
      <c r="I133" s="307">
        <f t="shared" si="12"/>
        <v>61056.45</v>
      </c>
      <c r="J133" s="66"/>
      <c r="N133" s="309"/>
    </row>
    <row r="134" spans="1:14" s="67" customFormat="1" ht="12" customHeight="1" outlineLevel="1">
      <c r="A134" s="63" t="str">
        <f>'FLUJO DE INGRESOS'!A77</f>
        <v>Departamento 09</v>
      </c>
      <c r="B134" s="64">
        <f>'FLUJO DE INGRESOS'!E77</f>
        <v>64.61</v>
      </c>
      <c r="C134" s="64">
        <f>'FLUJO DE INGRESOS'!F77</f>
        <v>0</v>
      </c>
      <c r="D134" s="306">
        <v>0</v>
      </c>
      <c r="E134" s="306">
        <v>0</v>
      </c>
      <c r="F134" s="65">
        <v>1</v>
      </c>
      <c r="G134" s="307">
        <f>'FLUJO DE INGRESOS'!O77</f>
        <v>61056.45</v>
      </c>
      <c r="H134" s="308">
        <f t="shared" si="11"/>
        <v>1</v>
      </c>
      <c r="I134" s="307">
        <f t="shared" si="12"/>
        <v>61056.45</v>
      </c>
      <c r="J134" s="66"/>
      <c r="N134" s="309"/>
    </row>
    <row r="135" spans="1:14" s="67" customFormat="1" ht="12" customHeight="1" outlineLevel="1">
      <c r="A135" s="63" t="str">
        <f>'FLUJO DE INGRESOS'!A78</f>
        <v>Departamento 10</v>
      </c>
      <c r="B135" s="64">
        <f>'FLUJO DE INGRESOS'!E78</f>
        <v>64.61</v>
      </c>
      <c r="C135" s="64">
        <f>'FLUJO DE INGRESOS'!F78</f>
        <v>0</v>
      </c>
      <c r="D135" s="306">
        <v>0</v>
      </c>
      <c r="E135" s="306">
        <v>0</v>
      </c>
      <c r="F135" s="65">
        <v>1</v>
      </c>
      <c r="G135" s="307">
        <f>'FLUJO DE INGRESOS'!O78</f>
        <v>61056.45</v>
      </c>
      <c r="H135" s="308">
        <f t="shared" si="11"/>
        <v>1</v>
      </c>
      <c r="I135" s="307">
        <f t="shared" si="12"/>
        <v>61056.45</v>
      </c>
      <c r="J135" s="66"/>
      <c r="N135" s="309"/>
    </row>
    <row r="136" spans="1:14" s="67" customFormat="1" ht="12" customHeight="1" outlineLevel="1">
      <c r="A136" s="63" t="str">
        <f>'FLUJO DE INGRESOS'!A79</f>
        <v>Departamento 11</v>
      </c>
      <c r="B136" s="64">
        <f>'FLUJO DE INGRESOS'!E79</f>
        <v>64.61</v>
      </c>
      <c r="C136" s="64">
        <f>'FLUJO DE INGRESOS'!F79</f>
        <v>0</v>
      </c>
      <c r="D136" s="306">
        <v>0</v>
      </c>
      <c r="E136" s="306">
        <v>0</v>
      </c>
      <c r="F136" s="65">
        <v>1</v>
      </c>
      <c r="G136" s="307">
        <f>'FLUJO DE INGRESOS'!O79</f>
        <v>61056.45</v>
      </c>
      <c r="H136" s="308">
        <f t="shared" si="11"/>
        <v>1</v>
      </c>
      <c r="I136" s="307">
        <f t="shared" si="12"/>
        <v>61056.45</v>
      </c>
      <c r="J136" s="66"/>
      <c r="N136" s="309"/>
    </row>
    <row r="137" spans="1:14" s="67" customFormat="1" ht="12" customHeight="1" outlineLevel="1">
      <c r="A137" s="63" t="str">
        <f>'FLUJO DE INGRESOS'!A80</f>
        <v>Departamento 12</v>
      </c>
      <c r="B137" s="64">
        <f>'FLUJO DE INGRESOS'!E80</f>
        <v>64.61</v>
      </c>
      <c r="C137" s="64">
        <f>'FLUJO DE INGRESOS'!F80</f>
        <v>0</v>
      </c>
      <c r="D137" s="306">
        <v>0</v>
      </c>
      <c r="E137" s="306">
        <v>0</v>
      </c>
      <c r="F137" s="65">
        <v>1</v>
      </c>
      <c r="G137" s="307">
        <f>'FLUJO DE INGRESOS'!O80</f>
        <v>61056.45</v>
      </c>
      <c r="H137" s="308">
        <f t="shared" si="11"/>
        <v>1</v>
      </c>
      <c r="I137" s="307">
        <f t="shared" si="12"/>
        <v>61056.45</v>
      </c>
      <c r="J137" s="66"/>
      <c r="N137" s="309"/>
    </row>
    <row r="138" spans="1:14" s="67" customFormat="1" ht="12" customHeight="1" outlineLevel="1">
      <c r="A138" s="63" t="str">
        <f>'FLUJO DE INGRESOS'!A81</f>
        <v>Departamento 13</v>
      </c>
      <c r="B138" s="64">
        <f>'FLUJO DE INGRESOS'!E81</f>
        <v>64.61</v>
      </c>
      <c r="C138" s="64">
        <f>'FLUJO DE INGRESOS'!F81</f>
        <v>0</v>
      </c>
      <c r="D138" s="306">
        <v>0</v>
      </c>
      <c r="E138" s="306">
        <v>0</v>
      </c>
      <c r="F138" s="65">
        <v>1</v>
      </c>
      <c r="G138" s="307">
        <f>'FLUJO DE INGRESOS'!O81</f>
        <v>66056.45</v>
      </c>
      <c r="H138" s="308">
        <f t="shared" ref="H138:H173" si="13">+D138+F138</f>
        <v>1</v>
      </c>
      <c r="I138" s="307">
        <f t="shared" ref="I138:I173" si="14">+G138+E138</f>
        <v>66056.45</v>
      </c>
      <c r="J138" s="66"/>
      <c r="N138" s="309"/>
    </row>
    <row r="139" spans="1:14" s="67" customFormat="1" ht="12" customHeight="1" outlineLevel="1">
      <c r="A139" s="63" t="str">
        <f>'FLUJO DE INGRESOS'!A82</f>
        <v>Departamento 14</v>
      </c>
      <c r="B139" s="64">
        <f>'FLUJO DE INGRESOS'!E82</f>
        <v>64.61</v>
      </c>
      <c r="C139" s="64">
        <f>'FLUJO DE INGRESOS'!F82</f>
        <v>0</v>
      </c>
      <c r="D139" s="306">
        <v>0</v>
      </c>
      <c r="E139" s="306">
        <v>0</v>
      </c>
      <c r="F139" s="65">
        <v>1</v>
      </c>
      <c r="G139" s="307">
        <f>'FLUJO DE INGRESOS'!O82</f>
        <v>66056.45</v>
      </c>
      <c r="H139" s="308">
        <f t="shared" si="13"/>
        <v>1</v>
      </c>
      <c r="I139" s="307">
        <f t="shared" si="14"/>
        <v>66056.45</v>
      </c>
      <c r="J139" s="66"/>
      <c r="N139" s="309"/>
    </row>
    <row r="140" spans="1:14" s="67" customFormat="1" ht="12" customHeight="1" outlineLevel="1">
      <c r="A140" s="63" t="str">
        <f>'FLUJO DE INGRESOS'!A83</f>
        <v>Departamento 15</v>
      </c>
      <c r="B140" s="64">
        <f>'FLUJO DE INGRESOS'!E83</f>
        <v>64.61</v>
      </c>
      <c r="C140" s="64">
        <f>'FLUJO DE INGRESOS'!F83</f>
        <v>0</v>
      </c>
      <c r="D140" s="306">
        <v>0</v>
      </c>
      <c r="E140" s="306">
        <v>0</v>
      </c>
      <c r="F140" s="65">
        <v>1</v>
      </c>
      <c r="G140" s="307">
        <f>'FLUJO DE INGRESOS'!O83</f>
        <v>66056.45</v>
      </c>
      <c r="H140" s="308">
        <f t="shared" si="13"/>
        <v>1</v>
      </c>
      <c r="I140" s="307">
        <f t="shared" si="14"/>
        <v>66056.45</v>
      </c>
      <c r="J140" s="66"/>
      <c r="N140" s="309"/>
    </row>
    <row r="141" spans="1:14" s="67" customFormat="1" ht="12" customHeight="1" outlineLevel="1">
      <c r="A141" s="63" t="str">
        <f>'FLUJO DE INGRESOS'!A84</f>
        <v>Departamento 16</v>
      </c>
      <c r="B141" s="64">
        <f>'FLUJO DE INGRESOS'!E84</f>
        <v>64.61</v>
      </c>
      <c r="C141" s="64">
        <f>'FLUJO DE INGRESOS'!F84</f>
        <v>0</v>
      </c>
      <c r="D141" s="306">
        <v>0</v>
      </c>
      <c r="E141" s="306">
        <v>0</v>
      </c>
      <c r="F141" s="65">
        <v>1</v>
      </c>
      <c r="G141" s="307">
        <f>'FLUJO DE INGRESOS'!O84</f>
        <v>66056.45</v>
      </c>
      <c r="H141" s="308">
        <f t="shared" si="13"/>
        <v>1</v>
      </c>
      <c r="I141" s="307">
        <f t="shared" si="14"/>
        <v>66056.45</v>
      </c>
      <c r="J141" s="66"/>
      <c r="N141" s="309"/>
    </row>
    <row r="142" spans="1:14" s="67" customFormat="1" ht="12" customHeight="1" outlineLevel="1">
      <c r="A142" s="63" t="str">
        <f>'FLUJO DE INGRESOS'!A85</f>
        <v>Departamento 17</v>
      </c>
      <c r="B142" s="64">
        <f>'FLUJO DE INGRESOS'!E85</f>
        <v>64.61</v>
      </c>
      <c r="C142" s="64">
        <f>'FLUJO DE INGRESOS'!F85</f>
        <v>0</v>
      </c>
      <c r="D142" s="306">
        <v>0</v>
      </c>
      <c r="E142" s="306">
        <v>0</v>
      </c>
      <c r="F142" s="65">
        <v>1</v>
      </c>
      <c r="G142" s="307">
        <f>'FLUJO DE INGRESOS'!O85</f>
        <v>66056.45</v>
      </c>
      <c r="H142" s="308">
        <f t="shared" si="13"/>
        <v>1</v>
      </c>
      <c r="I142" s="307">
        <f t="shared" si="14"/>
        <v>66056.45</v>
      </c>
      <c r="J142" s="66"/>
      <c r="N142" s="309"/>
    </row>
    <row r="143" spans="1:14" s="67" customFormat="1" ht="12" customHeight="1" outlineLevel="1">
      <c r="A143" s="63" t="str">
        <f>'FLUJO DE INGRESOS'!A86</f>
        <v>Departamento 18</v>
      </c>
      <c r="B143" s="64">
        <f>'FLUJO DE INGRESOS'!E86</f>
        <v>64.61</v>
      </c>
      <c r="C143" s="64">
        <f>'FLUJO DE INGRESOS'!F86</f>
        <v>0</v>
      </c>
      <c r="D143" s="306">
        <v>0</v>
      </c>
      <c r="E143" s="306">
        <v>0</v>
      </c>
      <c r="F143" s="65">
        <v>1</v>
      </c>
      <c r="G143" s="307">
        <f>'FLUJO DE INGRESOS'!O86</f>
        <v>66056.45</v>
      </c>
      <c r="H143" s="308">
        <f t="shared" si="13"/>
        <v>1</v>
      </c>
      <c r="I143" s="307">
        <f t="shared" si="14"/>
        <v>66056.45</v>
      </c>
      <c r="J143" s="66"/>
      <c r="N143" s="309"/>
    </row>
    <row r="144" spans="1:14" s="67" customFormat="1" ht="12" customHeight="1" outlineLevel="1">
      <c r="A144" s="63" t="str">
        <f>'FLUJO DE INGRESOS'!A87</f>
        <v>Departamento 19</v>
      </c>
      <c r="B144" s="64">
        <f>'FLUJO DE INGRESOS'!E87</f>
        <v>64.61</v>
      </c>
      <c r="C144" s="64">
        <f>'FLUJO DE INGRESOS'!F87</f>
        <v>0</v>
      </c>
      <c r="D144" s="306">
        <v>0</v>
      </c>
      <c r="E144" s="306">
        <v>0</v>
      </c>
      <c r="F144" s="65">
        <v>1</v>
      </c>
      <c r="G144" s="307">
        <f>'FLUJO DE INGRESOS'!O87</f>
        <v>61056.45</v>
      </c>
      <c r="H144" s="308">
        <f t="shared" si="13"/>
        <v>1</v>
      </c>
      <c r="I144" s="307">
        <f t="shared" si="14"/>
        <v>61056.45</v>
      </c>
      <c r="J144" s="66"/>
      <c r="N144" s="309"/>
    </row>
    <row r="145" spans="1:14" s="67" customFormat="1" ht="12" customHeight="1" outlineLevel="1">
      <c r="A145" s="63" t="str">
        <f>'FLUJO DE INGRESOS'!A88</f>
        <v>Departamento 20</v>
      </c>
      <c r="B145" s="64">
        <f>'FLUJO DE INGRESOS'!E88</f>
        <v>64.61</v>
      </c>
      <c r="C145" s="64">
        <f>'FLUJO DE INGRESOS'!F88</f>
        <v>0</v>
      </c>
      <c r="D145" s="306">
        <v>0</v>
      </c>
      <c r="E145" s="306">
        <v>0</v>
      </c>
      <c r="F145" s="65">
        <v>1</v>
      </c>
      <c r="G145" s="307">
        <f>'FLUJO DE INGRESOS'!O88</f>
        <v>61056.45</v>
      </c>
      <c r="H145" s="308">
        <f t="shared" si="13"/>
        <v>1</v>
      </c>
      <c r="I145" s="307">
        <f t="shared" si="14"/>
        <v>61056.45</v>
      </c>
      <c r="J145" s="66"/>
      <c r="N145" s="309"/>
    </row>
    <row r="146" spans="1:14" s="67" customFormat="1" ht="12" customHeight="1" outlineLevel="1">
      <c r="A146" s="63" t="str">
        <f>'FLUJO DE INGRESOS'!A89</f>
        <v>Departamento 21</v>
      </c>
      <c r="B146" s="64">
        <f>'FLUJO DE INGRESOS'!E89</f>
        <v>64.61</v>
      </c>
      <c r="C146" s="64">
        <f>'FLUJO DE INGRESOS'!F89</f>
        <v>0</v>
      </c>
      <c r="D146" s="306">
        <v>0</v>
      </c>
      <c r="E146" s="306">
        <v>0</v>
      </c>
      <c r="F146" s="65">
        <v>1</v>
      </c>
      <c r="G146" s="307">
        <f>'FLUJO DE INGRESOS'!O89</f>
        <v>61056.45</v>
      </c>
      <c r="H146" s="308">
        <f t="shared" si="13"/>
        <v>1</v>
      </c>
      <c r="I146" s="307">
        <f t="shared" si="14"/>
        <v>61056.45</v>
      </c>
      <c r="J146" s="66"/>
      <c r="N146" s="309"/>
    </row>
    <row r="147" spans="1:14" s="67" customFormat="1" ht="12" customHeight="1" outlineLevel="1">
      <c r="A147" s="63" t="str">
        <f>'FLUJO DE INGRESOS'!A90</f>
        <v>Departamento 22</v>
      </c>
      <c r="B147" s="64">
        <f>'FLUJO DE INGRESOS'!E90</f>
        <v>64.61</v>
      </c>
      <c r="C147" s="64">
        <f>'FLUJO DE INGRESOS'!F90</f>
        <v>0</v>
      </c>
      <c r="D147" s="306">
        <v>0</v>
      </c>
      <c r="E147" s="306">
        <v>0</v>
      </c>
      <c r="F147" s="65">
        <v>1</v>
      </c>
      <c r="G147" s="307">
        <f>'FLUJO DE INGRESOS'!O90</f>
        <v>61056.45</v>
      </c>
      <c r="H147" s="308">
        <f t="shared" si="13"/>
        <v>1</v>
      </c>
      <c r="I147" s="307">
        <f t="shared" si="14"/>
        <v>61056.45</v>
      </c>
      <c r="J147" s="66"/>
      <c r="N147" s="309"/>
    </row>
    <row r="148" spans="1:14" s="67" customFormat="1" ht="12" customHeight="1" outlineLevel="1">
      <c r="A148" s="63" t="str">
        <f>'FLUJO DE INGRESOS'!A91</f>
        <v>Departamento 23</v>
      </c>
      <c r="B148" s="64">
        <f>'FLUJO DE INGRESOS'!E91</f>
        <v>64.61</v>
      </c>
      <c r="C148" s="64">
        <f>'FLUJO DE INGRESOS'!F91</f>
        <v>0</v>
      </c>
      <c r="D148" s="306">
        <v>0</v>
      </c>
      <c r="E148" s="306">
        <v>0</v>
      </c>
      <c r="F148" s="65">
        <v>1</v>
      </c>
      <c r="G148" s="307">
        <f>'FLUJO DE INGRESOS'!O91</f>
        <v>61056.45</v>
      </c>
      <c r="H148" s="308">
        <f t="shared" si="13"/>
        <v>1</v>
      </c>
      <c r="I148" s="307">
        <f t="shared" si="14"/>
        <v>61056.45</v>
      </c>
      <c r="J148" s="66"/>
      <c r="N148" s="309"/>
    </row>
    <row r="149" spans="1:14" s="67" customFormat="1" ht="12" customHeight="1" outlineLevel="1">
      <c r="A149" s="63" t="str">
        <f>'FLUJO DE INGRESOS'!A92</f>
        <v>Departamento 24</v>
      </c>
      <c r="B149" s="64">
        <f>'FLUJO DE INGRESOS'!E92</f>
        <v>64.61</v>
      </c>
      <c r="C149" s="64">
        <f>'FLUJO DE INGRESOS'!F92</f>
        <v>0</v>
      </c>
      <c r="D149" s="306">
        <v>0</v>
      </c>
      <c r="E149" s="306">
        <v>0</v>
      </c>
      <c r="F149" s="65">
        <v>1</v>
      </c>
      <c r="G149" s="307">
        <f>'FLUJO DE INGRESOS'!O92</f>
        <v>61056.45</v>
      </c>
      <c r="H149" s="308">
        <f t="shared" si="13"/>
        <v>1</v>
      </c>
      <c r="I149" s="307">
        <f t="shared" si="14"/>
        <v>61056.45</v>
      </c>
      <c r="J149" s="66"/>
      <c r="N149" s="309"/>
    </row>
    <row r="150" spans="1:14" s="67" customFormat="1" ht="12" customHeight="1" outlineLevel="1">
      <c r="A150" s="63" t="str">
        <f>'FLUJO DE INGRESOS'!A93</f>
        <v>Departamento 25</v>
      </c>
      <c r="B150" s="64">
        <f>'FLUJO DE INGRESOS'!E93</f>
        <v>64.61</v>
      </c>
      <c r="C150" s="64">
        <f>'FLUJO DE INGRESOS'!F93</f>
        <v>0</v>
      </c>
      <c r="D150" s="306">
        <v>0</v>
      </c>
      <c r="E150" s="306">
        <v>0</v>
      </c>
      <c r="F150" s="65">
        <v>1</v>
      </c>
      <c r="G150" s="307">
        <f>'FLUJO DE INGRESOS'!O93</f>
        <v>66056.45</v>
      </c>
      <c r="H150" s="308">
        <f t="shared" si="13"/>
        <v>1</v>
      </c>
      <c r="I150" s="307">
        <f t="shared" si="14"/>
        <v>66056.45</v>
      </c>
      <c r="J150" s="66"/>
      <c r="N150" s="309"/>
    </row>
    <row r="151" spans="1:14" s="67" customFormat="1" ht="12" customHeight="1" outlineLevel="1">
      <c r="A151" s="63" t="str">
        <f>'FLUJO DE INGRESOS'!A94</f>
        <v>Departamento 26</v>
      </c>
      <c r="B151" s="64">
        <f>'FLUJO DE INGRESOS'!E94</f>
        <v>64.61</v>
      </c>
      <c r="C151" s="64">
        <f>'FLUJO DE INGRESOS'!F94</f>
        <v>0</v>
      </c>
      <c r="D151" s="306">
        <v>0</v>
      </c>
      <c r="E151" s="306">
        <v>0</v>
      </c>
      <c r="F151" s="65">
        <v>1</v>
      </c>
      <c r="G151" s="307">
        <f>'FLUJO DE INGRESOS'!O94</f>
        <v>66056.45</v>
      </c>
      <c r="H151" s="308">
        <f t="shared" si="13"/>
        <v>1</v>
      </c>
      <c r="I151" s="307">
        <f t="shared" si="14"/>
        <v>66056.45</v>
      </c>
      <c r="J151" s="66"/>
      <c r="N151" s="309"/>
    </row>
    <row r="152" spans="1:14" s="67" customFormat="1" ht="12" customHeight="1" outlineLevel="1">
      <c r="A152" s="63" t="str">
        <f>'FLUJO DE INGRESOS'!A95</f>
        <v>Departamento 27</v>
      </c>
      <c r="B152" s="64">
        <f>'FLUJO DE INGRESOS'!E95</f>
        <v>64.61</v>
      </c>
      <c r="C152" s="64">
        <f>'FLUJO DE INGRESOS'!F95</f>
        <v>0</v>
      </c>
      <c r="D152" s="306">
        <v>0</v>
      </c>
      <c r="E152" s="306">
        <v>0</v>
      </c>
      <c r="F152" s="65">
        <v>1</v>
      </c>
      <c r="G152" s="307">
        <f>'FLUJO DE INGRESOS'!O95</f>
        <v>66056.45</v>
      </c>
      <c r="H152" s="308">
        <f t="shared" si="13"/>
        <v>1</v>
      </c>
      <c r="I152" s="307">
        <f t="shared" si="14"/>
        <v>66056.45</v>
      </c>
      <c r="J152" s="66"/>
      <c r="N152" s="309"/>
    </row>
    <row r="153" spans="1:14" s="67" customFormat="1" ht="12" customHeight="1" outlineLevel="1">
      <c r="A153" s="63" t="str">
        <f>'FLUJO DE INGRESOS'!A96</f>
        <v>Departamento 28</v>
      </c>
      <c r="B153" s="64">
        <f>'FLUJO DE INGRESOS'!E96</f>
        <v>64.61</v>
      </c>
      <c r="C153" s="64">
        <f>'FLUJO DE INGRESOS'!F96</f>
        <v>0</v>
      </c>
      <c r="D153" s="306">
        <v>0</v>
      </c>
      <c r="E153" s="306">
        <v>0</v>
      </c>
      <c r="F153" s="65">
        <v>1</v>
      </c>
      <c r="G153" s="307">
        <f>'FLUJO DE INGRESOS'!O96</f>
        <v>66056.45</v>
      </c>
      <c r="H153" s="308">
        <f t="shared" si="13"/>
        <v>1</v>
      </c>
      <c r="I153" s="307">
        <f t="shared" si="14"/>
        <v>66056.45</v>
      </c>
      <c r="J153" s="66"/>
      <c r="N153" s="309"/>
    </row>
    <row r="154" spans="1:14" s="67" customFormat="1" ht="12" customHeight="1" outlineLevel="1">
      <c r="A154" s="63" t="str">
        <f>'FLUJO DE INGRESOS'!A97</f>
        <v>Departamento 29</v>
      </c>
      <c r="B154" s="64">
        <f>'FLUJO DE INGRESOS'!E97</f>
        <v>64.61</v>
      </c>
      <c r="C154" s="64">
        <f>'FLUJO DE INGRESOS'!F97</f>
        <v>0</v>
      </c>
      <c r="D154" s="306">
        <v>0</v>
      </c>
      <c r="E154" s="306">
        <v>0</v>
      </c>
      <c r="F154" s="65">
        <v>1</v>
      </c>
      <c r="G154" s="307">
        <f>'FLUJO DE INGRESOS'!O97</f>
        <v>66056.45</v>
      </c>
      <c r="H154" s="308">
        <f t="shared" si="13"/>
        <v>1</v>
      </c>
      <c r="I154" s="307">
        <f t="shared" si="14"/>
        <v>66056.45</v>
      </c>
      <c r="J154" s="66"/>
      <c r="N154" s="309"/>
    </row>
    <row r="155" spans="1:14" s="67" customFormat="1" ht="12" customHeight="1" outlineLevel="1">
      <c r="A155" s="63" t="str">
        <f>'FLUJO DE INGRESOS'!A98</f>
        <v>Departamento 30</v>
      </c>
      <c r="B155" s="64">
        <f>'FLUJO DE INGRESOS'!E98</f>
        <v>64.61</v>
      </c>
      <c r="C155" s="64">
        <f>'FLUJO DE INGRESOS'!F98</f>
        <v>0</v>
      </c>
      <c r="D155" s="306">
        <v>0</v>
      </c>
      <c r="E155" s="306">
        <v>0</v>
      </c>
      <c r="F155" s="65">
        <v>1</v>
      </c>
      <c r="G155" s="307">
        <f>'FLUJO DE INGRESOS'!O98</f>
        <v>66056.45</v>
      </c>
      <c r="H155" s="308">
        <f t="shared" si="13"/>
        <v>1</v>
      </c>
      <c r="I155" s="307">
        <f t="shared" si="14"/>
        <v>66056.45</v>
      </c>
      <c r="J155" s="66"/>
      <c r="N155" s="309"/>
    </row>
    <row r="156" spans="1:14" s="67" customFormat="1" ht="12" customHeight="1" outlineLevel="1">
      <c r="A156" s="63" t="str">
        <f>'FLUJO DE INGRESOS'!A99</f>
        <v>Departamento 31</v>
      </c>
      <c r="B156" s="64">
        <f>'FLUJO DE INGRESOS'!E99</f>
        <v>64.61</v>
      </c>
      <c r="C156" s="64">
        <f>'FLUJO DE INGRESOS'!F99</f>
        <v>0</v>
      </c>
      <c r="D156" s="306">
        <v>0</v>
      </c>
      <c r="E156" s="306">
        <v>0</v>
      </c>
      <c r="F156" s="65">
        <v>1</v>
      </c>
      <c r="G156" s="307">
        <f>'FLUJO DE INGRESOS'!O99</f>
        <v>61056.45</v>
      </c>
      <c r="H156" s="308">
        <f t="shared" si="13"/>
        <v>1</v>
      </c>
      <c r="I156" s="307">
        <f t="shared" si="14"/>
        <v>61056.45</v>
      </c>
      <c r="J156" s="66"/>
      <c r="N156" s="309"/>
    </row>
    <row r="157" spans="1:14" s="67" customFormat="1" ht="12" customHeight="1" outlineLevel="1">
      <c r="A157" s="63" t="str">
        <f>'FLUJO DE INGRESOS'!A100</f>
        <v>Departamento 32</v>
      </c>
      <c r="B157" s="64">
        <f>'FLUJO DE INGRESOS'!E100</f>
        <v>64.61</v>
      </c>
      <c r="C157" s="64">
        <f>'FLUJO DE INGRESOS'!F100</f>
        <v>0</v>
      </c>
      <c r="D157" s="306">
        <v>0</v>
      </c>
      <c r="E157" s="306">
        <v>0</v>
      </c>
      <c r="F157" s="65">
        <v>1</v>
      </c>
      <c r="G157" s="307">
        <f>'FLUJO DE INGRESOS'!O100</f>
        <v>61056.45</v>
      </c>
      <c r="H157" s="308">
        <f t="shared" si="13"/>
        <v>1</v>
      </c>
      <c r="I157" s="307">
        <f t="shared" si="14"/>
        <v>61056.45</v>
      </c>
      <c r="J157" s="66"/>
      <c r="N157" s="309"/>
    </row>
    <row r="158" spans="1:14" s="67" customFormat="1" ht="12" customHeight="1" outlineLevel="1">
      <c r="A158" s="63" t="str">
        <f>'FLUJO DE INGRESOS'!A101</f>
        <v>Departamento 33</v>
      </c>
      <c r="B158" s="64">
        <f>'FLUJO DE INGRESOS'!E101</f>
        <v>64.61</v>
      </c>
      <c r="C158" s="64">
        <f>'FLUJO DE INGRESOS'!F101</f>
        <v>0</v>
      </c>
      <c r="D158" s="306">
        <v>0</v>
      </c>
      <c r="E158" s="306">
        <v>0</v>
      </c>
      <c r="F158" s="65">
        <v>1</v>
      </c>
      <c r="G158" s="307">
        <f>'FLUJO DE INGRESOS'!O101</f>
        <v>61056.45</v>
      </c>
      <c r="H158" s="308">
        <f t="shared" si="13"/>
        <v>1</v>
      </c>
      <c r="I158" s="307">
        <f t="shared" si="14"/>
        <v>61056.45</v>
      </c>
      <c r="J158" s="66"/>
      <c r="N158" s="309"/>
    </row>
    <row r="159" spans="1:14" s="67" customFormat="1" ht="12" customHeight="1" outlineLevel="1">
      <c r="A159" s="63" t="str">
        <f>'FLUJO DE INGRESOS'!A102</f>
        <v>Departamento 34</v>
      </c>
      <c r="B159" s="64">
        <f>'FLUJO DE INGRESOS'!E102</f>
        <v>64.61</v>
      </c>
      <c r="C159" s="64">
        <f>'FLUJO DE INGRESOS'!F102</f>
        <v>0</v>
      </c>
      <c r="D159" s="306">
        <v>0</v>
      </c>
      <c r="E159" s="306">
        <v>0</v>
      </c>
      <c r="F159" s="65">
        <v>1</v>
      </c>
      <c r="G159" s="307">
        <f>'FLUJO DE INGRESOS'!O102</f>
        <v>61056.45</v>
      </c>
      <c r="H159" s="308">
        <f t="shared" si="13"/>
        <v>1</v>
      </c>
      <c r="I159" s="307">
        <f t="shared" si="14"/>
        <v>61056.45</v>
      </c>
      <c r="J159" s="66"/>
      <c r="N159" s="309"/>
    </row>
    <row r="160" spans="1:14" s="67" customFormat="1" ht="12" customHeight="1" outlineLevel="1">
      <c r="A160" s="63" t="str">
        <f>'FLUJO DE INGRESOS'!A103</f>
        <v>Departamento 35</v>
      </c>
      <c r="B160" s="64">
        <f>'FLUJO DE INGRESOS'!E103</f>
        <v>64.61</v>
      </c>
      <c r="C160" s="64">
        <f>'FLUJO DE INGRESOS'!F103</f>
        <v>0</v>
      </c>
      <c r="D160" s="306">
        <v>0</v>
      </c>
      <c r="E160" s="306">
        <v>0</v>
      </c>
      <c r="F160" s="65">
        <v>1</v>
      </c>
      <c r="G160" s="307">
        <f>'FLUJO DE INGRESOS'!O103</f>
        <v>61056.45</v>
      </c>
      <c r="H160" s="308">
        <f t="shared" si="13"/>
        <v>1</v>
      </c>
      <c r="I160" s="307">
        <f t="shared" si="14"/>
        <v>61056.45</v>
      </c>
      <c r="J160" s="66"/>
      <c r="N160" s="309"/>
    </row>
    <row r="161" spans="1:14" s="67" customFormat="1" ht="12" customHeight="1" outlineLevel="1">
      <c r="A161" s="63" t="str">
        <f>'FLUJO DE INGRESOS'!A104</f>
        <v>Departamento 36</v>
      </c>
      <c r="B161" s="64">
        <f>'FLUJO DE INGRESOS'!E104</f>
        <v>64.61</v>
      </c>
      <c r="C161" s="64">
        <f>'FLUJO DE INGRESOS'!F104</f>
        <v>0</v>
      </c>
      <c r="D161" s="306">
        <v>0</v>
      </c>
      <c r="E161" s="306">
        <v>0</v>
      </c>
      <c r="F161" s="65">
        <v>1</v>
      </c>
      <c r="G161" s="307">
        <f>'FLUJO DE INGRESOS'!O104</f>
        <v>61056.45</v>
      </c>
      <c r="H161" s="308">
        <f t="shared" si="13"/>
        <v>1</v>
      </c>
      <c r="I161" s="307">
        <f t="shared" si="14"/>
        <v>61056.45</v>
      </c>
      <c r="J161" s="66"/>
      <c r="N161" s="309"/>
    </row>
    <row r="162" spans="1:14" s="67" customFormat="1" ht="12" customHeight="1" outlineLevel="1">
      <c r="A162" s="63" t="str">
        <f>'FLUJO DE INGRESOS'!A105</f>
        <v>Departamento 37</v>
      </c>
      <c r="B162" s="64">
        <f>'FLUJO DE INGRESOS'!E105</f>
        <v>64.61</v>
      </c>
      <c r="C162" s="64">
        <f>'FLUJO DE INGRESOS'!F105</f>
        <v>0</v>
      </c>
      <c r="D162" s="306">
        <v>0</v>
      </c>
      <c r="E162" s="306">
        <v>0</v>
      </c>
      <c r="F162" s="65">
        <v>1</v>
      </c>
      <c r="G162" s="307">
        <f>'FLUJO DE INGRESOS'!O105</f>
        <v>66056.45</v>
      </c>
      <c r="H162" s="308">
        <f t="shared" si="13"/>
        <v>1</v>
      </c>
      <c r="I162" s="307">
        <f t="shared" si="14"/>
        <v>66056.45</v>
      </c>
      <c r="J162" s="66"/>
      <c r="N162" s="309"/>
    </row>
    <row r="163" spans="1:14" s="67" customFormat="1" ht="12" customHeight="1" outlineLevel="1">
      <c r="A163" s="63" t="str">
        <f>'FLUJO DE INGRESOS'!A106</f>
        <v>Departamento 38</v>
      </c>
      <c r="B163" s="64">
        <f>'FLUJO DE INGRESOS'!E106</f>
        <v>64.61</v>
      </c>
      <c r="C163" s="64">
        <f>'FLUJO DE INGRESOS'!F106</f>
        <v>0</v>
      </c>
      <c r="D163" s="306">
        <v>0</v>
      </c>
      <c r="E163" s="306">
        <v>0</v>
      </c>
      <c r="F163" s="65">
        <v>1</v>
      </c>
      <c r="G163" s="307">
        <f>'FLUJO DE INGRESOS'!O106</f>
        <v>66056.45</v>
      </c>
      <c r="H163" s="308">
        <f t="shared" si="13"/>
        <v>1</v>
      </c>
      <c r="I163" s="307">
        <f t="shared" si="14"/>
        <v>66056.45</v>
      </c>
      <c r="J163" s="66"/>
      <c r="N163" s="309"/>
    </row>
    <row r="164" spans="1:14" s="67" customFormat="1" ht="12" customHeight="1" outlineLevel="1">
      <c r="A164" s="63" t="str">
        <f>'FLUJO DE INGRESOS'!A107</f>
        <v>Departamento 39</v>
      </c>
      <c r="B164" s="64">
        <f>'FLUJO DE INGRESOS'!E107</f>
        <v>64.61</v>
      </c>
      <c r="C164" s="64">
        <f>'FLUJO DE INGRESOS'!F107</f>
        <v>0</v>
      </c>
      <c r="D164" s="306">
        <v>0</v>
      </c>
      <c r="E164" s="306">
        <v>0</v>
      </c>
      <c r="F164" s="65">
        <v>1</v>
      </c>
      <c r="G164" s="307">
        <f>'FLUJO DE INGRESOS'!O107</f>
        <v>66056.45</v>
      </c>
      <c r="H164" s="308">
        <f t="shared" si="13"/>
        <v>1</v>
      </c>
      <c r="I164" s="307">
        <f t="shared" si="14"/>
        <v>66056.45</v>
      </c>
      <c r="J164" s="66"/>
      <c r="N164" s="309"/>
    </row>
    <row r="165" spans="1:14" s="67" customFormat="1" ht="12" customHeight="1" outlineLevel="1">
      <c r="A165" s="63" t="str">
        <f>'FLUJO DE INGRESOS'!A108</f>
        <v>Departamento 40</v>
      </c>
      <c r="B165" s="64">
        <f>'FLUJO DE INGRESOS'!E108</f>
        <v>64.61</v>
      </c>
      <c r="C165" s="64">
        <f>'FLUJO DE INGRESOS'!F108</f>
        <v>0</v>
      </c>
      <c r="D165" s="306">
        <v>0</v>
      </c>
      <c r="E165" s="306">
        <v>0</v>
      </c>
      <c r="F165" s="65">
        <v>1</v>
      </c>
      <c r="G165" s="307">
        <f>'FLUJO DE INGRESOS'!O108</f>
        <v>66056.45</v>
      </c>
      <c r="H165" s="308">
        <f t="shared" si="13"/>
        <v>1</v>
      </c>
      <c r="I165" s="307">
        <f t="shared" si="14"/>
        <v>66056.45</v>
      </c>
      <c r="J165" s="66"/>
      <c r="N165" s="309"/>
    </row>
    <row r="166" spans="1:14" s="67" customFormat="1" ht="12" customHeight="1" outlineLevel="1">
      <c r="A166" s="63" t="str">
        <f>'FLUJO DE INGRESOS'!A109</f>
        <v>Departamento 41</v>
      </c>
      <c r="B166" s="64">
        <f>'FLUJO DE INGRESOS'!E109</f>
        <v>64.61</v>
      </c>
      <c r="C166" s="64">
        <f>'FLUJO DE INGRESOS'!F109</f>
        <v>0</v>
      </c>
      <c r="D166" s="306">
        <v>0</v>
      </c>
      <c r="E166" s="306">
        <v>0</v>
      </c>
      <c r="F166" s="65">
        <v>1</v>
      </c>
      <c r="G166" s="307">
        <f>'FLUJO DE INGRESOS'!O109</f>
        <v>66056.45</v>
      </c>
      <c r="H166" s="308">
        <f t="shared" si="13"/>
        <v>1</v>
      </c>
      <c r="I166" s="307">
        <f t="shared" si="14"/>
        <v>66056.45</v>
      </c>
      <c r="J166" s="66"/>
      <c r="N166" s="309"/>
    </row>
    <row r="167" spans="1:14" s="67" customFormat="1" ht="12" customHeight="1" outlineLevel="1">
      <c r="A167" s="63" t="str">
        <f>'FLUJO DE INGRESOS'!A110</f>
        <v>Departamento 42</v>
      </c>
      <c r="B167" s="64">
        <f>'FLUJO DE INGRESOS'!E110</f>
        <v>64.61</v>
      </c>
      <c r="C167" s="64">
        <f>'FLUJO DE INGRESOS'!F110</f>
        <v>0</v>
      </c>
      <c r="D167" s="306">
        <v>0</v>
      </c>
      <c r="E167" s="306">
        <v>0</v>
      </c>
      <c r="F167" s="65">
        <v>1</v>
      </c>
      <c r="G167" s="307">
        <f>'FLUJO DE INGRESOS'!O110</f>
        <v>66056.45</v>
      </c>
      <c r="H167" s="308">
        <f t="shared" si="13"/>
        <v>1</v>
      </c>
      <c r="I167" s="307">
        <f t="shared" si="14"/>
        <v>66056.45</v>
      </c>
      <c r="J167" s="66"/>
      <c r="N167" s="309"/>
    </row>
    <row r="168" spans="1:14" s="67" customFormat="1" ht="12" customHeight="1" outlineLevel="1">
      <c r="A168" s="63" t="str">
        <f>'FLUJO DE INGRESOS'!A111</f>
        <v>Departamento 43</v>
      </c>
      <c r="B168" s="64">
        <f>'FLUJO DE INGRESOS'!E111</f>
        <v>64.61</v>
      </c>
      <c r="C168" s="64">
        <f>'FLUJO DE INGRESOS'!F111</f>
        <v>0</v>
      </c>
      <c r="D168" s="306">
        <v>0</v>
      </c>
      <c r="E168" s="306">
        <v>0</v>
      </c>
      <c r="F168" s="65">
        <v>1</v>
      </c>
      <c r="G168" s="307">
        <f>'FLUJO DE INGRESOS'!O111</f>
        <v>61056.45</v>
      </c>
      <c r="H168" s="308">
        <f t="shared" si="13"/>
        <v>1</v>
      </c>
      <c r="I168" s="307">
        <f t="shared" si="14"/>
        <v>61056.45</v>
      </c>
      <c r="J168" s="66"/>
      <c r="N168" s="309"/>
    </row>
    <row r="169" spans="1:14" s="67" customFormat="1" ht="12" customHeight="1" outlineLevel="1">
      <c r="A169" s="63" t="str">
        <f>'FLUJO DE INGRESOS'!A112</f>
        <v>Departamento 44</v>
      </c>
      <c r="B169" s="64">
        <f>'FLUJO DE INGRESOS'!E112</f>
        <v>64.61</v>
      </c>
      <c r="C169" s="64">
        <f>'FLUJO DE INGRESOS'!F112</f>
        <v>0</v>
      </c>
      <c r="D169" s="306">
        <v>0</v>
      </c>
      <c r="E169" s="306">
        <v>0</v>
      </c>
      <c r="F169" s="65">
        <v>1</v>
      </c>
      <c r="G169" s="307">
        <f>'FLUJO DE INGRESOS'!O112</f>
        <v>61056.45</v>
      </c>
      <c r="H169" s="308">
        <f t="shared" si="13"/>
        <v>1</v>
      </c>
      <c r="I169" s="307">
        <f t="shared" si="14"/>
        <v>61056.45</v>
      </c>
      <c r="J169" s="66"/>
      <c r="N169" s="309"/>
    </row>
    <row r="170" spans="1:14" s="67" customFormat="1" ht="12" customHeight="1" outlineLevel="1">
      <c r="A170" s="63" t="str">
        <f>'FLUJO DE INGRESOS'!A113</f>
        <v>Departamento 45</v>
      </c>
      <c r="B170" s="64">
        <f>'FLUJO DE INGRESOS'!E113</f>
        <v>64.61</v>
      </c>
      <c r="C170" s="64">
        <f>'FLUJO DE INGRESOS'!F113</f>
        <v>0</v>
      </c>
      <c r="D170" s="306">
        <v>0</v>
      </c>
      <c r="E170" s="306">
        <v>0</v>
      </c>
      <c r="F170" s="65">
        <v>1</v>
      </c>
      <c r="G170" s="307">
        <f>'FLUJO DE INGRESOS'!O113</f>
        <v>61056.45</v>
      </c>
      <c r="H170" s="308">
        <f t="shared" si="13"/>
        <v>1</v>
      </c>
      <c r="I170" s="307">
        <f t="shared" si="14"/>
        <v>61056.45</v>
      </c>
      <c r="J170" s="66"/>
      <c r="N170" s="309"/>
    </row>
    <row r="171" spans="1:14" s="67" customFormat="1" ht="12" customHeight="1" outlineLevel="1">
      <c r="A171" s="63" t="str">
        <f>'FLUJO DE INGRESOS'!A114</f>
        <v>Departamento 46</v>
      </c>
      <c r="B171" s="64">
        <f>'FLUJO DE INGRESOS'!E114</f>
        <v>64.61</v>
      </c>
      <c r="C171" s="64">
        <f>'FLUJO DE INGRESOS'!F114</f>
        <v>0</v>
      </c>
      <c r="D171" s="306">
        <v>0</v>
      </c>
      <c r="E171" s="306">
        <v>0</v>
      </c>
      <c r="F171" s="65">
        <v>1</v>
      </c>
      <c r="G171" s="307">
        <f>'FLUJO DE INGRESOS'!O114</f>
        <v>61056.45</v>
      </c>
      <c r="H171" s="308">
        <f t="shared" si="13"/>
        <v>1</v>
      </c>
      <c r="I171" s="307">
        <f t="shared" si="14"/>
        <v>61056.45</v>
      </c>
      <c r="J171" s="66"/>
      <c r="N171" s="309"/>
    </row>
    <row r="172" spans="1:14" s="67" customFormat="1" ht="12" customHeight="1" outlineLevel="1">
      <c r="A172" s="63" t="str">
        <f>'FLUJO DE INGRESOS'!A115</f>
        <v>Departamento 47</v>
      </c>
      <c r="B172" s="64">
        <f>'FLUJO DE INGRESOS'!E115</f>
        <v>64.61</v>
      </c>
      <c r="C172" s="64">
        <f>'FLUJO DE INGRESOS'!F115</f>
        <v>0</v>
      </c>
      <c r="D172" s="306">
        <v>0</v>
      </c>
      <c r="E172" s="306">
        <v>0</v>
      </c>
      <c r="F172" s="65">
        <v>1</v>
      </c>
      <c r="G172" s="307">
        <f>'FLUJO DE INGRESOS'!O115</f>
        <v>61056.45</v>
      </c>
      <c r="H172" s="308">
        <f t="shared" si="13"/>
        <v>1</v>
      </c>
      <c r="I172" s="307">
        <f t="shared" si="14"/>
        <v>61056.45</v>
      </c>
      <c r="J172" s="66"/>
      <c r="N172" s="309"/>
    </row>
    <row r="173" spans="1:14" s="67" customFormat="1" ht="12" customHeight="1" outlineLevel="1">
      <c r="A173" s="63" t="str">
        <f>'FLUJO DE INGRESOS'!A116</f>
        <v>Departamento 48</v>
      </c>
      <c r="B173" s="64">
        <f>'FLUJO DE INGRESOS'!E116</f>
        <v>64.61</v>
      </c>
      <c r="C173" s="64">
        <f>'FLUJO DE INGRESOS'!F116</f>
        <v>0</v>
      </c>
      <c r="D173" s="306">
        <v>0</v>
      </c>
      <c r="E173" s="306">
        <v>0</v>
      </c>
      <c r="F173" s="65">
        <v>1</v>
      </c>
      <c r="G173" s="307">
        <f>'FLUJO DE INGRESOS'!O116</f>
        <v>61056.45</v>
      </c>
      <c r="H173" s="308">
        <f t="shared" si="13"/>
        <v>1</v>
      </c>
      <c r="I173" s="307">
        <f t="shared" si="14"/>
        <v>61056.45</v>
      </c>
      <c r="J173" s="66"/>
      <c r="N173" s="309"/>
    </row>
    <row r="174" spans="1:14" ht="14.25" customHeight="1">
      <c r="A174" s="242" t="s">
        <v>176</v>
      </c>
      <c r="B174" s="310">
        <f t="shared" ref="B174:I174" si="15">SUM(B74:B173)</f>
        <v>6604.679999999993</v>
      </c>
      <c r="C174" s="310">
        <f t="shared" si="15"/>
        <v>56.15999999999994</v>
      </c>
      <c r="D174" s="310">
        <f t="shared" si="15"/>
        <v>0</v>
      </c>
      <c r="E174" s="310">
        <f t="shared" si="15"/>
        <v>0</v>
      </c>
      <c r="F174" s="310">
        <f t="shared" si="15"/>
        <v>100</v>
      </c>
      <c r="G174" s="310">
        <f t="shared" si="15"/>
        <v>7081052.5520000057</v>
      </c>
      <c r="H174" s="310">
        <f t="shared" si="15"/>
        <v>100</v>
      </c>
      <c r="I174" s="310">
        <f t="shared" si="15"/>
        <v>7081052.5520000057</v>
      </c>
    </row>
    <row r="175" spans="1:14" ht="14.25" customHeight="1">
      <c r="A175" s="68"/>
      <c r="B175" s="68"/>
      <c r="C175" s="68"/>
      <c r="D175" s="68"/>
      <c r="E175" s="68"/>
      <c r="F175" s="68"/>
      <c r="G175" s="68"/>
      <c r="H175" s="68"/>
      <c r="I175" s="68"/>
    </row>
    <row r="176" spans="1:14" ht="14.25" customHeight="1">
      <c r="A176" s="532" t="s">
        <v>177</v>
      </c>
      <c r="B176" s="486"/>
      <c r="C176" s="486"/>
      <c r="D176" s="486"/>
      <c r="E176" s="486"/>
      <c r="F176" s="486"/>
      <c r="G176" s="486"/>
      <c r="H176" s="486"/>
      <c r="I176" s="487"/>
    </row>
    <row r="177" spans="1:9" ht="25.5" customHeight="1">
      <c r="A177" s="542" t="s">
        <v>178</v>
      </c>
      <c r="B177" s="486"/>
      <c r="C177" s="487"/>
      <c r="D177" s="240" t="s">
        <v>179</v>
      </c>
      <c r="E177" s="240"/>
      <c r="F177" s="240" t="s">
        <v>180</v>
      </c>
      <c r="G177" s="240"/>
      <c r="H177" s="240" t="s">
        <v>55</v>
      </c>
      <c r="I177" s="240"/>
    </row>
    <row r="178" spans="1:9" ht="14.25" customHeight="1">
      <c r="A178" s="542"/>
      <c r="B178" s="486"/>
      <c r="C178" s="487"/>
      <c r="D178" s="240" t="s">
        <v>181</v>
      </c>
      <c r="E178" s="240" t="s">
        <v>17</v>
      </c>
      <c r="F178" s="240" t="s">
        <v>181</v>
      </c>
      <c r="G178" s="240" t="s">
        <v>17</v>
      </c>
      <c r="H178" s="240" t="s">
        <v>10</v>
      </c>
      <c r="I178" s="240" t="s">
        <v>17</v>
      </c>
    </row>
    <row r="179" spans="1:9" ht="14.25" customHeight="1">
      <c r="A179" s="543" t="s">
        <v>20</v>
      </c>
      <c r="B179" s="486"/>
      <c r="C179" s="487"/>
      <c r="D179" s="311">
        <v>0</v>
      </c>
      <c r="E179" s="37">
        <f>+D179/$H$182</f>
        <v>0</v>
      </c>
      <c r="F179" s="311">
        <f>+H6-D179</f>
        <v>458348.41</v>
      </c>
      <c r="G179" s="37">
        <f>+F179/$H$182</f>
        <v>8.4520317581442989E-2</v>
      </c>
      <c r="H179" s="311">
        <f>+D179+F179</f>
        <v>458348.41</v>
      </c>
      <c r="I179" s="37">
        <f>+H179/$H$182</f>
        <v>8.4520317581442989E-2</v>
      </c>
    </row>
    <row r="180" spans="1:9" ht="14.25" customHeight="1">
      <c r="A180" s="543" t="s">
        <v>182</v>
      </c>
      <c r="B180" s="486"/>
      <c r="C180" s="487"/>
      <c r="D180" s="311">
        <v>0</v>
      </c>
      <c r="E180" s="37">
        <f>+D180/$H$182</f>
        <v>0</v>
      </c>
      <c r="F180" s="311">
        <f>+H8-D180</f>
        <v>3908554.04</v>
      </c>
      <c r="G180" s="37">
        <f>+F180/$H$182</f>
        <v>0.72074479050779749</v>
      </c>
      <c r="H180" s="311">
        <f>+D180+F180</f>
        <v>3908554.04</v>
      </c>
      <c r="I180" s="37">
        <f>+H180/$H$182</f>
        <v>0.72074479050779749</v>
      </c>
    </row>
    <row r="181" spans="1:9" ht="14.25" customHeight="1">
      <c r="A181" s="543" t="s">
        <v>183</v>
      </c>
      <c r="B181" s="486"/>
      <c r="C181" s="487"/>
      <c r="D181" s="311">
        <v>0</v>
      </c>
      <c r="E181" s="37">
        <f>+D181/$H$182</f>
        <v>0</v>
      </c>
      <c r="F181" s="311">
        <f>+H22-D181</f>
        <v>1056035.1715764888</v>
      </c>
      <c r="G181" s="37">
        <f>+F181/$H$182</f>
        <v>0.19473489191075949</v>
      </c>
      <c r="H181" s="311">
        <f>+D181+F181</f>
        <v>1056035.1715764888</v>
      </c>
      <c r="I181" s="37">
        <f>+H181/$H$182</f>
        <v>0.19473489191075949</v>
      </c>
    </row>
    <row r="182" spans="1:9" ht="14.25" customHeight="1">
      <c r="A182" s="537" t="s">
        <v>184</v>
      </c>
      <c r="B182" s="486"/>
      <c r="C182" s="487"/>
      <c r="D182" s="310">
        <f>+SUM(D179:D181)</f>
        <v>0</v>
      </c>
      <c r="E182" s="55">
        <f>+D182/H182</f>
        <v>0</v>
      </c>
      <c r="F182" s="310">
        <f>+SUM(F179:F181)</f>
        <v>5422937.6215764889</v>
      </c>
      <c r="G182" s="55">
        <f>+F182/H182</f>
        <v>1</v>
      </c>
      <c r="H182" s="310">
        <f>+SUM(H179:H181)</f>
        <v>5422937.6215764889</v>
      </c>
      <c r="I182" s="55">
        <f>+H182/$H$182</f>
        <v>1</v>
      </c>
    </row>
    <row r="183" spans="1:9" ht="14.25" customHeight="1">
      <c r="A183" s="68"/>
      <c r="B183" s="68"/>
      <c r="C183" s="68"/>
      <c r="D183" s="68"/>
      <c r="E183" s="68"/>
      <c r="F183" s="68"/>
      <c r="G183" s="68"/>
      <c r="H183" s="68"/>
      <c r="I183" s="68"/>
    </row>
    <row r="184" spans="1:9" ht="25.5" customHeight="1">
      <c r="A184" s="68"/>
      <c r="B184" s="68"/>
      <c r="C184" s="68"/>
      <c r="D184" s="68"/>
      <c r="E184" s="536" t="s">
        <v>185</v>
      </c>
      <c r="F184" s="312" t="s">
        <v>186</v>
      </c>
      <c r="G184" s="313" t="s">
        <v>86</v>
      </c>
      <c r="H184" s="28"/>
      <c r="I184" s="28"/>
    </row>
    <row r="185" spans="1:9" ht="14.25" customHeight="1">
      <c r="A185" s="68"/>
      <c r="B185" s="68"/>
      <c r="C185" s="68"/>
      <c r="D185" s="68"/>
      <c r="E185" s="499"/>
      <c r="F185" s="240">
        <f>+I174-H182</f>
        <v>1658114.9304235168</v>
      </c>
      <c r="G185" s="69">
        <f>+F185/$H$54</f>
        <v>0.30575954328264804</v>
      </c>
      <c r="H185" s="28"/>
      <c r="I185" s="28"/>
    </row>
  </sheetData>
  <mergeCells count="65">
    <mergeCell ref="B8:D8"/>
    <mergeCell ref="B17:D17"/>
    <mergeCell ref="A54:D54"/>
    <mergeCell ref="B13:D13"/>
    <mergeCell ref="B45:D45"/>
    <mergeCell ref="B43:D43"/>
    <mergeCell ref="B53:D53"/>
    <mergeCell ref="B51:D51"/>
    <mergeCell ref="B32:D32"/>
    <mergeCell ref="B48:D48"/>
    <mergeCell ref="B35:D35"/>
    <mergeCell ref="B9:D9"/>
    <mergeCell ref="B11:D11"/>
    <mergeCell ref="B23:D23"/>
    <mergeCell ref="D71:E71"/>
    <mergeCell ref="F71:G71"/>
    <mergeCell ref="B34:D34"/>
    <mergeCell ref="B49:D49"/>
    <mergeCell ref="A179:C179"/>
    <mergeCell ref="A176:I176"/>
    <mergeCell ref="B46:D46"/>
    <mergeCell ref="B42:D42"/>
    <mergeCell ref="B47:D47"/>
    <mergeCell ref="H71:I71"/>
    <mergeCell ref="A177:C177"/>
    <mergeCell ref="B28:D28"/>
    <mergeCell ref="B19:D19"/>
    <mergeCell ref="B37:D37"/>
    <mergeCell ref="B50:D50"/>
    <mergeCell ref="B40:D40"/>
    <mergeCell ref="B71:B72"/>
    <mergeCell ref="B30:D30"/>
    <mergeCell ref="A71:A72"/>
    <mergeCell ref="E184:E185"/>
    <mergeCell ref="A182:C182"/>
    <mergeCell ref="B15:D15"/>
    <mergeCell ref="B6:D6"/>
    <mergeCell ref="B24:D24"/>
    <mergeCell ref="B52:D52"/>
    <mergeCell ref="B20:D20"/>
    <mergeCell ref="B33:D33"/>
    <mergeCell ref="B36:D36"/>
    <mergeCell ref="A70:I70"/>
    <mergeCell ref="A178:C178"/>
    <mergeCell ref="C71:C72"/>
    <mergeCell ref="A180:C180"/>
    <mergeCell ref="B29:D29"/>
    <mergeCell ref="B38:D38"/>
    <mergeCell ref="A181:C181"/>
    <mergeCell ref="A1:I1"/>
    <mergeCell ref="B27:D27"/>
    <mergeCell ref="B18:D18"/>
    <mergeCell ref="B44:D44"/>
    <mergeCell ref="B12:D12"/>
    <mergeCell ref="B39:D39"/>
    <mergeCell ref="B41:D41"/>
    <mergeCell ref="B5:D5"/>
    <mergeCell ref="B26:D26"/>
    <mergeCell ref="B25:D25"/>
    <mergeCell ref="B16:D16"/>
    <mergeCell ref="B31:D31"/>
    <mergeCell ref="B22:D22"/>
    <mergeCell ref="A3:I3"/>
    <mergeCell ref="B10:D10"/>
    <mergeCell ref="B14:D14"/>
  </mergeCells>
  <printOptions horizontalCentered="1"/>
  <pageMargins left="0.70833333333333304" right="0.70833333333333304" top="0.59027777777777801" bottom="7.8472222222222193E-2" header="0.511811023622047" footer="0.511811023622047"/>
  <pageSetup paperSize="9" orientation="portrait" horizontalDpi="300" verticalDpi="300"/>
  <colBreaks count="1" manualBreakCount="1">
    <brk id="9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XL81"/>
  <sheetViews>
    <sheetView showZeros="0" zoomScaleNormal="100" workbookViewId="0"/>
  </sheetViews>
  <sheetFormatPr baseColWidth="10" defaultColWidth="10.7109375" defaultRowHeight="15" customHeight="1"/>
  <cols>
    <col min="1" max="1" width="43.42578125" style="247" customWidth="1"/>
    <col min="2" max="2" width="28.5703125" style="247" customWidth="1"/>
    <col min="3" max="3" width="16.5703125" style="247" customWidth="1"/>
    <col min="4" max="4" width="14.7109375" style="247" customWidth="1"/>
    <col min="5" max="5" width="12.7109375" style="247" customWidth="1"/>
    <col min="6" max="6" width="13" style="247" customWidth="1"/>
    <col min="7" max="7" width="12.7109375" style="247" customWidth="1"/>
    <col min="8" max="9" width="13.85546875" style="247" customWidth="1"/>
    <col min="10" max="11" width="14.28515625" style="247" customWidth="1"/>
    <col min="12" max="13" width="14.5703125" style="247" customWidth="1"/>
    <col min="14" max="14" width="14.28515625" style="247" customWidth="1"/>
    <col min="15" max="15" width="14.5703125" style="247" customWidth="1"/>
    <col min="16" max="17" width="14.28515625" style="247" customWidth="1"/>
    <col min="18" max="21" width="14.5703125" style="247" customWidth="1"/>
    <col min="22" max="23" width="14.28515625" style="247" customWidth="1"/>
    <col min="24" max="27" width="14.5703125" style="247" hidden="1" customWidth="1"/>
    <col min="28" max="28" width="14.28515625" style="247" hidden="1" customWidth="1"/>
    <col min="29" max="29" width="15.140625" style="247" hidden="1" customWidth="1"/>
    <col min="30" max="30" width="14.28515625" style="247" hidden="1" customWidth="1"/>
    <col min="31" max="31" width="14.5703125" style="247" hidden="1" customWidth="1"/>
    <col min="32" max="32" width="15" style="247" hidden="1" customWidth="1"/>
    <col min="33" max="33" width="15.28515625" style="247" hidden="1" customWidth="1"/>
    <col min="34" max="34" width="15" style="247" hidden="1" customWidth="1"/>
    <col min="35" max="35" width="14.5703125" style="247" hidden="1" customWidth="1"/>
    <col min="36" max="36" width="15.28515625" style="247" hidden="1" customWidth="1"/>
    <col min="37" max="37" width="15" style="247" hidden="1" customWidth="1"/>
    <col min="38" max="39" width="15.28515625" style="247" hidden="1" customWidth="1"/>
    <col min="40" max="40" width="15" style="247" hidden="1" customWidth="1"/>
    <col min="41" max="41" width="14.5703125" style="247" hidden="1" customWidth="1"/>
    <col min="42" max="42" width="15" style="247" hidden="1" customWidth="1"/>
    <col min="43" max="43" width="15.28515625" style="247" hidden="1" customWidth="1"/>
    <col min="44" max="44" width="14.5703125" style="247" hidden="1" customWidth="1"/>
    <col min="45" max="45" width="15.5703125" style="247" hidden="1" customWidth="1"/>
    <col min="46" max="53" width="15" style="247" hidden="1" customWidth="1"/>
    <col min="54" max="54" width="16.5703125" style="247" customWidth="1"/>
    <col min="55" max="55" width="18.28515625" style="247" customWidth="1"/>
    <col min="56" max="56" width="12.28515625" style="247" customWidth="1"/>
    <col min="57" max="57" width="11.7109375" style="247" customWidth="1"/>
    <col min="265" max="265" width="17.28515625" style="247" customWidth="1"/>
    <col min="266" max="266" width="30.5703125" style="247" customWidth="1"/>
    <col min="267" max="267" width="13.28515625" style="247" customWidth="1"/>
    <col min="268" max="268" width="14.7109375" style="247" customWidth="1"/>
    <col min="269" max="269" width="10.5703125" style="247" customWidth="1"/>
    <col min="271" max="271" width="11.5703125" style="247" customWidth="1"/>
    <col min="273" max="273" width="12.28515625" style="247" customWidth="1"/>
    <col min="274" max="274" width="12.140625" style="247" customWidth="1"/>
    <col min="275" max="275" width="12.28515625" style="247" customWidth="1"/>
    <col min="276" max="276" width="12.140625" style="247" customWidth="1"/>
    <col min="277" max="277" width="12.28515625" style="247" customWidth="1"/>
    <col min="278" max="278" width="12.140625" style="247" customWidth="1"/>
    <col min="279" max="279" width="12.28515625" style="247" customWidth="1"/>
    <col min="280" max="280" width="12.140625" style="247" customWidth="1"/>
    <col min="281" max="281" width="12.28515625" style="247" customWidth="1"/>
    <col min="282" max="282" width="12.140625" style="247" customWidth="1"/>
    <col min="283" max="299" width="11.42578125" style="247" customWidth="1"/>
    <col min="312" max="312" width="12.28515625" style="247" customWidth="1"/>
    <col min="521" max="521" width="17.28515625" style="247" customWidth="1"/>
    <col min="522" max="522" width="30.5703125" style="247" customWidth="1"/>
    <col min="523" max="523" width="13.28515625" style="247" customWidth="1"/>
    <col min="524" max="524" width="14.7109375" style="247" customWidth="1"/>
    <col min="525" max="525" width="10.5703125" style="247" customWidth="1"/>
    <col min="527" max="527" width="11.5703125" style="247" customWidth="1"/>
    <col min="529" max="529" width="12.28515625" style="247" customWidth="1"/>
    <col min="530" max="530" width="12.140625" style="247" customWidth="1"/>
    <col min="531" max="531" width="12.28515625" style="247" customWidth="1"/>
    <col min="532" max="532" width="12.140625" style="247" customWidth="1"/>
    <col min="533" max="533" width="12.28515625" style="247" customWidth="1"/>
    <col min="534" max="534" width="12.140625" style="247" customWidth="1"/>
    <col min="535" max="535" width="12.28515625" style="247" customWidth="1"/>
    <col min="536" max="536" width="12.140625" style="247" customWidth="1"/>
    <col min="537" max="537" width="12.28515625" style="247" customWidth="1"/>
    <col min="538" max="538" width="12.140625" style="247" customWidth="1"/>
    <col min="539" max="555" width="11.42578125" style="247" customWidth="1"/>
    <col min="568" max="568" width="12.28515625" style="247" customWidth="1"/>
    <col min="777" max="777" width="17.28515625" style="247" customWidth="1"/>
    <col min="778" max="778" width="30.5703125" style="247" customWidth="1"/>
    <col min="779" max="779" width="13.28515625" style="247" customWidth="1"/>
    <col min="780" max="780" width="14.7109375" style="247" customWidth="1"/>
    <col min="781" max="781" width="10.5703125" style="247" customWidth="1"/>
    <col min="783" max="783" width="11.5703125" style="247" customWidth="1"/>
    <col min="785" max="785" width="12.28515625" style="247" customWidth="1"/>
    <col min="786" max="786" width="12.140625" style="247" customWidth="1"/>
    <col min="787" max="787" width="12.28515625" style="247" customWidth="1"/>
    <col min="788" max="788" width="12.140625" style="247" customWidth="1"/>
    <col min="789" max="789" width="12.28515625" style="247" customWidth="1"/>
    <col min="790" max="790" width="12.140625" style="247" customWidth="1"/>
    <col min="791" max="791" width="12.28515625" style="247" customWidth="1"/>
    <col min="792" max="792" width="12.140625" style="247" customWidth="1"/>
    <col min="793" max="793" width="12.28515625" style="247" customWidth="1"/>
    <col min="794" max="794" width="12.140625" style="247" customWidth="1"/>
    <col min="795" max="811" width="11.42578125" style="247" customWidth="1"/>
    <col min="824" max="824" width="12.28515625" style="247" customWidth="1"/>
    <col min="1033" max="1033" width="17.28515625" style="247" customWidth="1"/>
    <col min="1034" max="1034" width="30.5703125" style="247" customWidth="1"/>
    <col min="1035" max="1035" width="13.28515625" style="247" customWidth="1"/>
    <col min="1036" max="1036" width="14.7109375" style="247" customWidth="1"/>
    <col min="1037" max="1037" width="10.5703125" style="247" customWidth="1"/>
    <col min="1039" max="1039" width="11.5703125" style="247" customWidth="1"/>
    <col min="1041" max="1041" width="12.28515625" style="247" customWidth="1"/>
    <col min="1042" max="1042" width="12.140625" style="247" customWidth="1"/>
    <col min="1043" max="1043" width="12.28515625" style="247" customWidth="1"/>
    <col min="1044" max="1044" width="12.140625" style="247" customWidth="1"/>
    <col min="1045" max="1045" width="12.28515625" style="247" customWidth="1"/>
    <col min="1046" max="1046" width="12.140625" style="247" customWidth="1"/>
    <col min="1047" max="1047" width="12.28515625" style="247" customWidth="1"/>
    <col min="1048" max="1048" width="12.140625" style="247" customWidth="1"/>
    <col min="1049" max="1049" width="12.28515625" style="247" customWidth="1"/>
    <col min="1050" max="1050" width="12.140625" style="247" customWidth="1"/>
    <col min="1051" max="1067" width="11.42578125" style="247" customWidth="1"/>
    <col min="1080" max="1080" width="12.28515625" style="247" customWidth="1"/>
    <col min="1289" max="1289" width="17.28515625" style="247" customWidth="1"/>
    <col min="1290" max="1290" width="30.5703125" style="247" customWidth="1"/>
    <col min="1291" max="1291" width="13.28515625" style="247" customWidth="1"/>
    <col min="1292" max="1292" width="14.7109375" style="247" customWidth="1"/>
    <col min="1293" max="1293" width="10.5703125" style="247" customWidth="1"/>
    <col min="1295" max="1295" width="11.5703125" style="247" customWidth="1"/>
    <col min="1297" max="1297" width="12.28515625" style="247" customWidth="1"/>
    <col min="1298" max="1298" width="12.140625" style="247" customWidth="1"/>
    <col min="1299" max="1299" width="12.28515625" style="247" customWidth="1"/>
    <col min="1300" max="1300" width="12.140625" style="247" customWidth="1"/>
    <col min="1301" max="1301" width="12.28515625" style="247" customWidth="1"/>
    <col min="1302" max="1302" width="12.140625" style="247" customWidth="1"/>
    <col min="1303" max="1303" width="12.28515625" style="247" customWidth="1"/>
    <col min="1304" max="1304" width="12.140625" style="247" customWidth="1"/>
    <col min="1305" max="1305" width="12.28515625" style="247" customWidth="1"/>
    <col min="1306" max="1306" width="12.140625" style="247" customWidth="1"/>
    <col min="1307" max="1323" width="11.42578125" style="247" customWidth="1"/>
    <col min="1336" max="1336" width="12.28515625" style="247" customWidth="1"/>
    <col min="1545" max="1545" width="17.28515625" style="247" customWidth="1"/>
    <col min="1546" max="1546" width="30.5703125" style="247" customWidth="1"/>
    <col min="1547" max="1547" width="13.28515625" style="247" customWidth="1"/>
    <col min="1548" max="1548" width="14.7109375" style="247" customWidth="1"/>
    <col min="1549" max="1549" width="10.5703125" style="247" customWidth="1"/>
    <col min="1551" max="1551" width="11.5703125" style="247" customWidth="1"/>
    <col min="1553" max="1553" width="12.28515625" style="247" customWidth="1"/>
    <col min="1554" max="1554" width="12.140625" style="247" customWidth="1"/>
    <col min="1555" max="1555" width="12.28515625" style="247" customWidth="1"/>
    <col min="1556" max="1556" width="12.140625" style="247" customWidth="1"/>
    <col min="1557" max="1557" width="12.28515625" style="247" customWidth="1"/>
    <col min="1558" max="1558" width="12.140625" style="247" customWidth="1"/>
    <col min="1559" max="1559" width="12.28515625" style="247" customWidth="1"/>
    <col min="1560" max="1560" width="12.140625" style="247" customWidth="1"/>
    <col min="1561" max="1561" width="12.28515625" style="247" customWidth="1"/>
    <col min="1562" max="1562" width="12.140625" style="247" customWidth="1"/>
    <col min="1563" max="1579" width="11.42578125" style="247" customWidth="1"/>
    <col min="1592" max="1592" width="12.28515625" style="247" customWidth="1"/>
    <col min="1801" max="1801" width="17.28515625" style="247" customWidth="1"/>
    <col min="1802" max="1802" width="30.5703125" style="247" customWidth="1"/>
    <col min="1803" max="1803" width="13.28515625" style="247" customWidth="1"/>
    <col min="1804" max="1804" width="14.7109375" style="247" customWidth="1"/>
    <col min="1805" max="1805" width="10.5703125" style="247" customWidth="1"/>
    <col min="1807" max="1807" width="11.5703125" style="247" customWidth="1"/>
    <col min="1809" max="1809" width="12.28515625" style="247" customWidth="1"/>
    <col min="1810" max="1810" width="12.140625" style="247" customWidth="1"/>
    <col min="1811" max="1811" width="12.28515625" style="247" customWidth="1"/>
    <col min="1812" max="1812" width="12.140625" style="247" customWidth="1"/>
    <col min="1813" max="1813" width="12.28515625" style="247" customWidth="1"/>
    <col min="1814" max="1814" width="12.140625" style="247" customWidth="1"/>
    <col min="1815" max="1815" width="12.28515625" style="247" customWidth="1"/>
    <col min="1816" max="1816" width="12.140625" style="247" customWidth="1"/>
    <col min="1817" max="1817" width="12.28515625" style="247" customWidth="1"/>
    <col min="1818" max="1818" width="12.140625" style="247" customWidth="1"/>
    <col min="1819" max="1835" width="11.42578125" style="247" customWidth="1"/>
    <col min="1848" max="1848" width="12.28515625" style="247" customWidth="1"/>
    <col min="2057" max="2057" width="17.28515625" style="247" customWidth="1"/>
    <col min="2058" max="2058" width="30.5703125" style="247" customWidth="1"/>
    <col min="2059" max="2059" width="13.28515625" style="247" customWidth="1"/>
    <col min="2060" max="2060" width="14.7109375" style="247" customWidth="1"/>
    <col min="2061" max="2061" width="10.5703125" style="247" customWidth="1"/>
    <col min="2063" max="2063" width="11.5703125" style="247" customWidth="1"/>
    <col min="2065" max="2065" width="12.28515625" style="247" customWidth="1"/>
    <col min="2066" max="2066" width="12.140625" style="247" customWidth="1"/>
    <col min="2067" max="2067" width="12.28515625" style="247" customWidth="1"/>
    <col min="2068" max="2068" width="12.140625" style="247" customWidth="1"/>
    <col min="2069" max="2069" width="12.28515625" style="247" customWidth="1"/>
    <col min="2070" max="2070" width="12.140625" style="247" customWidth="1"/>
    <col min="2071" max="2071" width="12.28515625" style="247" customWidth="1"/>
    <col min="2072" max="2072" width="12.140625" style="247" customWidth="1"/>
    <col min="2073" max="2073" width="12.28515625" style="247" customWidth="1"/>
    <col min="2074" max="2074" width="12.140625" style="247" customWidth="1"/>
    <col min="2075" max="2091" width="11.42578125" style="247" customWidth="1"/>
    <col min="2104" max="2104" width="12.28515625" style="247" customWidth="1"/>
    <col min="2313" max="2313" width="17.28515625" style="247" customWidth="1"/>
    <col min="2314" max="2314" width="30.5703125" style="247" customWidth="1"/>
    <col min="2315" max="2315" width="13.28515625" style="247" customWidth="1"/>
    <col min="2316" max="2316" width="14.7109375" style="247" customWidth="1"/>
    <col min="2317" max="2317" width="10.5703125" style="247" customWidth="1"/>
    <col min="2319" max="2319" width="11.5703125" style="247" customWidth="1"/>
    <col min="2321" max="2321" width="12.28515625" style="247" customWidth="1"/>
    <col min="2322" max="2322" width="12.140625" style="247" customWidth="1"/>
    <col min="2323" max="2323" width="12.28515625" style="247" customWidth="1"/>
    <col min="2324" max="2324" width="12.140625" style="247" customWidth="1"/>
    <col min="2325" max="2325" width="12.28515625" style="247" customWidth="1"/>
    <col min="2326" max="2326" width="12.140625" style="247" customWidth="1"/>
    <col min="2327" max="2327" width="12.28515625" style="247" customWidth="1"/>
    <col min="2328" max="2328" width="12.140625" style="247" customWidth="1"/>
    <col min="2329" max="2329" width="12.28515625" style="247" customWidth="1"/>
    <col min="2330" max="2330" width="12.140625" style="247" customWidth="1"/>
    <col min="2331" max="2347" width="11.42578125" style="247" customWidth="1"/>
    <col min="2360" max="2360" width="12.28515625" style="247" customWidth="1"/>
    <col min="2569" max="2569" width="17.28515625" style="247" customWidth="1"/>
    <col min="2570" max="2570" width="30.5703125" style="247" customWidth="1"/>
    <col min="2571" max="2571" width="13.28515625" style="247" customWidth="1"/>
    <col min="2572" max="2572" width="14.7109375" style="247" customWidth="1"/>
    <col min="2573" max="2573" width="10.5703125" style="247" customWidth="1"/>
    <col min="2575" max="2575" width="11.5703125" style="247" customWidth="1"/>
    <col min="2577" max="2577" width="12.28515625" style="247" customWidth="1"/>
    <col min="2578" max="2578" width="12.140625" style="247" customWidth="1"/>
    <col min="2579" max="2579" width="12.28515625" style="247" customWidth="1"/>
    <col min="2580" max="2580" width="12.140625" style="247" customWidth="1"/>
    <col min="2581" max="2581" width="12.28515625" style="247" customWidth="1"/>
    <col min="2582" max="2582" width="12.140625" style="247" customWidth="1"/>
    <col min="2583" max="2583" width="12.28515625" style="247" customWidth="1"/>
    <col min="2584" max="2584" width="12.140625" style="247" customWidth="1"/>
    <col min="2585" max="2585" width="12.28515625" style="247" customWidth="1"/>
    <col min="2586" max="2586" width="12.140625" style="247" customWidth="1"/>
    <col min="2587" max="2603" width="11.42578125" style="247" customWidth="1"/>
    <col min="2616" max="2616" width="12.28515625" style="247" customWidth="1"/>
    <col min="2825" max="2825" width="17.28515625" style="247" customWidth="1"/>
    <col min="2826" max="2826" width="30.5703125" style="247" customWidth="1"/>
    <col min="2827" max="2827" width="13.28515625" style="247" customWidth="1"/>
    <col min="2828" max="2828" width="14.7109375" style="247" customWidth="1"/>
    <col min="2829" max="2829" width="10.5703125" style="247" customWidth="1"/>
    <col min="2831" max="2831" width="11.5703125" style="247" customWidth="1"/>
    <col min="2833" max="2833" width="12.28515625" style="247" customWidth="1"/>
    <col min="2834" max="2834" width="12.140625" style="247" customWidth="1"/>
    <col min="2835" max="2835" width="12.28515625" style="247" customWidth="1"/>
    <col min="2836" max="2836" width="12.140625" style="247" customWidth="1"/>
    <col min="2837" max="2837" width="12.28515625" style="247" customWidth="1"/>
    <col min="2838" max="2838" width="12.140625" style="247" customWidth="1"/>
    <col min="2839" max="2839" width="12.28515625" style="247" customWidth="1"/>
    <col min="2840" max="2840" width="12.140625" style="247" customWidth="1"/>
    <col min="2841" max="2841" width="12.28515625" style="247" customWidth="1"/>
    <col min="2842" max="2842" width="12.140625" style="247" customWidth="1"/>
    <col min="2843" max="2859" width="11.42578125" style="247" customWidth="1"/>
    <col min="2872" max="2872" width="12.28515625" style="247" customWidth="1"/>
    <col min="3081" max="3081" width="17.28515625" style="247" customWidth="1"/>
    <col min="3082" max="3082" width="30.5703125" style="247" customWidth="1"/>
    <col min="3083" max="3083" width="13.28515625" style="247" customWidth="1"/>
    <col min="3084" max="3084" width="14.7109375" style="247" customWidth="1"/>
    <col min="3085" max="3085" width="10.5703125" style="247" customWidth="1"/>
    <col min="3087" max="3087" width="11.5703125" style="247" customWidth="1"/>
    <col min="3089" max="3089" width="12.28515625" style="247" customWidth="1"/>
    <col min="3090" max="3090" width="12.140625" style="247" customWidth="1"/>
    <col min="3091" max="3091" width="12.28515625" style="247" customWidth="1"/>
    <col min="3092" max="3092" width="12.140625" style="247" customWidth="1"/>
    <col min="3093" max="3093" width="12.28515625" style="247" customWidth="1"/>
    <col min="3094" max="3094" width="12.140625" style="247" customWidth="1"/>
    <col min="3095" max="3095" width="12.28515625" style="247" customWidth="1"/>
    <col min="3096" max="3096" width="12.140625" style="247" customWidth="1"/>
    <col min="3097" max="3097" width="12.28515625" style="247" customWidth="1"/>
    <col min="3098" max="3098" width="12.140625" style="247" customWidth="1"/>
    <col min="3099" max="3115" width="11.42578125" style="247" customWidth="1"/>
    <col min="3128" max="3128" width="12.28515625" style="247" customWidth="1"/>
    <col min="3337" max="3337" width="17.28515625" style="247" customWidth="1"/>
    <col min="3338" max="3338" width="30.5703125" style="247" customWidth="1"/>
    <col min="3339" max="3339" width="13.28515625" style="247" customWidth="1"/>
    <col min="3340" max="3340" width="14.7109375" style="247" customWidth="1"/>
    <col min="3341" max="3341" width="10.5703125" style="247" customWidth="1"/>
    <col min="3343" max="3343" width="11.5703125" style="247" customWidth="1"/>
    <col min="3345" max="3345" width="12.28515625" style="247" customWidth="1"/>
    <col min="3346" max="3346" width="12.140625" style="247" customWidth="1"/>
    <col min="3347" max="3347" width="12.28515625" style="247" customWidth="1"/>
    <col min="3348" max="3348" width="12.140625" style="247" customWidth="1"/>
    <col min="3349" max="3349" width="12.28515625" style="247" customWidth="1"/>
    <col min="3350" max="3350" width="12.140625" style="247" customWidth="1"/>
    <col min="3351" max="3351" width="12.28515625" style="247" customWidth="1"/>
    <col min="3352" max="3352" width="12.140625" style="247" customWidth="1"/>
    <col min="3353" max="3353" width="12.28515625" style="247" customWidth="1"/>
    <col min="3354" max="3354" width="12.140625" style="247" customWidth="1"/>
    <col min="3355" max="3371" width="11.42578125" style="247" customWidth="1"/>
    <col min="3384" max="3384" width="12.28515625" style="247" customWidth="1"/>
    <col min="3593" max="3593" width="17.28515625" style="247" customWidth="1"/>
    <col min="3594" max="3594" width="30.5703125" style="247" customWidth="1"/>
    <col min="3595" max="3595" width="13.28515625" style="247" customWidth="1"/>
    <col min="3596" max="3596" width="14.7109375" style="247" customWidth="1"/>
    <col min="3597" max="3597" width="10.5703125" style="247" customWidth="1"/>
    <col min="3599" max="3599" width="11.5703125" style="247" customWidth="1"/>
    <col min="3601" max="3601" width="12.28515625" style="247" customWidth="1"/>
    <col min="3602" max="3602" width="12.140625" style="247" customWidth="1"/>
    <col min="3603" max="3603" width="12.28515625" style="247" customWidth="1"/>
    <col min="3604" max="3604" width="12.140625" style="247" customWidth="1"/>
    <col min="3605" max="3605" width="12.28515625" style="247" customWidth="1"/>
    <col min="3606" max="3606" width="12.140625" style="247" customWidth="1"/>
    <col min="3607" max="3607" width="12.28515625" style="247" customWidth="1"/>
    <col min="3608" max="3608" width="12.140625" style="247" customWidth="1"/>
    <col min="3609" max="3609" width="12.28515625" style="247" customWidth="1"/>
    <col min="3610" max="3610" width="12.140625" style="247" customWidth="1"/>
    <col min="3611" max="3627" width="11.42578125" style="247" customWidth="1"/>
    <col min="3640" max="3640" width="12.28515625" style="247" customWidth="1"/>
    <col min="3849" max="3849" width="17.28515625" style="247" customWidth="1"/>
    <col min="3850" max="3850" width="30.5703125" style="247" customWidth="1"/>
    <col min="3851" max="3851" width="13.28515625" style="247" customWidth="1"/>
    <col min="3852" max="3852" width="14.7109375" style="247" customWidth="1"/>
    <col min="3853" max="3853" width="10.5703125" style="247" customWidth="1"/>
    <col min="3855" max="3855" width="11.5703125" style="247" customWidth="1"/>
    <col min="3857" max="3857" width="12.28515625" style="247" customWidth="1"/>
    <col min="3858" max="3858" width="12.140625" style="247" customWidth="1"/>
    <col min="3859" max="3859" width="12.28515625" style="247" customWidth="1"/>
    <col min="3860" max="3860" width="12.140625" style="247" customWidth="1"/>
    <col min="3861" max="3861" width="12.28515625" style="247" customWidth="1"/>
    <col min="3862" max="3862" width="12.140625" style="247" customWidth="1"/>
    <col min="3863" max="3863" width="12.28515625" style="247" customWidth="1"/>
    <col min="3864" max="3864" width="12.140625" style="247" customWidth="1"/>
    <col min="3865" max="3865" width="12.28515625" style="247" customWidth="1"/>
    <col min="3866" max="3866" width="12.140625" style="247" customWidth="1"/>
    <col min="3867" max="3883" width="11.42578125" style="247" customWidth="1"/>
    <col min="3896" max="3896" width="12.28515625" style="247" customWidth="1"/>
    <col min="4105" max="4105" width="17.28515625" style="247" customWidth="1"/>
    <col min="4106" max="4106" width="30.5703125" style="247" customWidth="1"/>
    <col min="4107" max="4107" width="13.28515625" style="247" customWidth="1"/>
    <col min="4108" max="4108" width="14.7109375" style="247" customWidth="1"/>
    <col min="4109" max="4109" width="10.5703125" style="247" customWidth="1"/>
    <col min="4111" max="4111" width="11.5703125" style="247" customWidth="1"/>
    <col min="4113" max="4113" width="12.28515625" style="247" customWidth="1"/>
    <col min="4114" max="4114" width="12.140625" style="247" customWidth="1"/>
    <col min="4115" max="4115" width="12.28515625" style="247" customWidth="1"/>
    <col min="4116" max="4116" width="12.140625" style="247" customWidth="1"/>
    <col min="4117" max="4117" width="12.28515625" style="247" customWidth="1"/>
    <col min="4118" max="4118" width="12.140625" style="247" customWidth="1"/>
    <col min="4119" max="4119" width="12.28515625" style="247" customWidth="1"/>
    <col min="4120" max="4120" width="12.140625" style="247" customWidth="1"/>
    <col min="4121" max="4121" width="12.28515625" style="247" customWidth="1"/>
    <col min="4122" max="4122" width="12.140625" style="247" customWidth="1"/>
    <col min="4123" max="4139" width="11.42578125" style="247" customWidth="1"/>
    <col min="4152" max="4152" width="12.28515625" style="247" customWidth="1"/>
    <col min="4361" max="4361" width="17.28515625" style="247" customWidth="1"/>
    <col min="4362" max="4362" width="30.5703125" style="247" customWidth="1"/>
    <col min="4363" max="4363" width="13.28515625" style="247" customWidth="1"/>
    <col min="4364" max="4364" width="14.7109375" style="247" customWidth="1"/>
    <col min="4365" max="4365" width="10.5703125" style="247" customWidth="1"/>
    <col min="4367" max="4367" width="11.5703125" style="247" customWidth="1"/>
    <col min="4369" max="4369" width="12.28515625" style="247" customWidth="1"/>
    <col min="4370" max="4370" width="12.140625" style="247" customWidth="1"/>
    <col min="4371" max="4371" width="12.28515625" style="247" customWidth="1"/>
    <col min="4372" max="4372" width="12.140625" style="247" customWidth="1"/>
    <col min="4373" max="4373" width="12.28515625" style="247" customWidth="1"/>
    <col min="4374" max="4374" width="12.140625" style="247" customWidth="1"/>
    <col min="4375" max="4375" width="12.28515625" style="247" customWidth="1"/>
    <col min="4376" max="4376" width="12.140625" style="247" customWidth="1"/>
    <col min="4377" max="4377" width="12.28515625" style="247" customWidth="1"/>
    <col min="4378" max="4378" width="12.140625" style="247" customWidth="1"/>
    <col min="4379" max="4395" width="11.42578125" style="247" customWidth="1"/>
    <col min="4408" max="4408" width="12.28515625" style="247" customWidth="1"/>
    <col min="4617" max="4617" width="17.28515625" style="247" customWidth="1"/>
    <col min="4618" max="4618" width="30.5703125" style="247" customWidth="1"/>
    <col min="4619" max="4619" width="13.28515625" style="247" customWidth="1"/>
    <col min="4620" max="4620" width="14.7109375" style="247" customWidth="1"/>
    <col min="4621" max="4621" width="10.5703125" style="247" customWidth="1"/>
    <col min="4623" max="4623" width="11.5703125" style="247" customWidth="1"/>
    <col min="4625" max="4625" width="12.28515625" style="247" customWidth="1"/>
    <col min="4626" max="4626" width="12.140625" style="247" customWidth="1"/>
    <col min="4627" max="4627" width="12.28515625" style="247" customWidth="1"/>
    <col min="4628" max="4628" width="12.140625" style="247" customWidth="1"/>
    <col min="4629" max="4629" width="12.28515625" style="247" customWidth="1"/>
    <col min="4630" max="4630" width="12.140625" style="247" customWidth="1"/>
    <col min="4631" max="4631" width="12.28515625" style="247" customWidth="1"/>
    <col min="4632" max="4632" width="12.140625" style="247" customWidth="1"/>
    <col min="4633" max="4633" width="12.28515625" style="247" customWidth="1"/>
    <col min="4634" max="4634" width="12.140625" style="247" customWidth="1"/>
    <col min="4635" max="4651" width="11.42578125" style="247" customWidth="1"/>
    <col min="4664" max="4664" width="12.28515625" style="247" customWidth="1"/>
    <col min="4873" max="4873" width="17.28515625" style="247" customWidth="1"/>
    <col min="4874" max="4874" width="30.5703125" style="247" customWidth="1"/>
    <col min="4875" max="4875" width="13.28515625" style="247" customWidth="1"/>
    <col min="4876" max="4876" width="14.7109375" style="247" customWidth="1"/>
    <col min="4877" max="4877" width="10.5703125" style="247" customWidth="1"/>
    <col min="4879" max="4879" width="11.5703125" style="247" customWidth="1"/>
    <col min="4881" max="4881" width="12.28515625" style="247" customWidth="1"/>
    <col min="4882" max="4882" width="12.140625" style="247" customWidth="1"/>
    <col min="4883" max="4883" width="12.28515625" style="247" customWidth="1"/>
    <col min="4884" max="4884" width="12.140625" style="247" customWidth="1"/>
    <col min="4885" max="4885" width="12.28515625" style="247" customWidth="1"/>
    <col min="4886" max="4886" width="12.140625" style="247" customWidth="1"/>
    <col min="4887" max="4887" width="12.28515625" style="247" customWidth="1"/>
    <col min="4888" max="4888" width="12.140625" style="247" customWidth="1"/>
    <col min="4889" max="4889" width="12.28515625" style="247" customWidth="1"/>
    <col min="4890" max="4890" width="12.140625" style="247" customWidth="1"/>
    <col min="4891" max="4907" width="11.42578125" style="247" customWidth="1"/>
    <col min="4920" max="4920" width="12.28515625" style="247" customWidth="1"/>
    <col min="5129" max="5129" width="17.28515625" style="247" customWidth="1"/>
    <col min="5130" max="5130" width="30.5703125" style="247" customWidth="1"/>
    <col min="5131" max="5131" width="13.28515625" style="247" customWidth="1"/>
    <col min="5132" max="5132" width="14.7109375" style="247" customWidth="1"/>
    <col min="5133" max="5133" width="10.5703125" style="247" customWidth="1"/>
    <col min="5135" max="5135" width="11.5703125" style="247" customWidth="1"/>
    <col min="5137" max="5137" width="12.28515625" style="247" customWidth="1"/>
    <col min="5138" max="5138" width="12.140625" style="247" customWidth="1"/>
    <col min="5139" max="5139" width="12.28515625" style="247" customWidth="1"/>
    <col min="5140" max="5140" width="12.140625" style="247" customWidth="1"/>
    <col min="5141" max="5141" width="12.28515625" style="247" customWidth="1"/>
    <col min="5142" max="5142" width="12.140625" style="247" customWidth="1"/>
    <col min="5143" max="5143" width="12.28515625" style="247" customWidth="1"/>
    <col min="5144" max="5144" width="12.140625" style="247" customWidth="1"/>
    <col min="5145" max="5145" width="12.28515625" style="247" customWidth="1"/>
    <col min="5146" max="5146" width="12.140625" style="247" customWidth="1"/>
    <col min="5147" max="5163" width="11.42578125" style="247" customWidth="1"/>
    <col min="5176" max="5176" width="12.28515625" style="247" customWidth="1"/>
    <col min="5385" max="5385" width="17.28515625" style="247" customWidth="1"/>
    <col min="5386" max="5386" width="30.5703125" style="247" customWidth="1"/>
    <col min="5387" max="5387" width="13.28515625" style="247" customWidth="1"/>
    <col min="5388" max="5388" width="14.7109375" style="247" customWidth="1"/>
    <col min="5389" max="5389" width="10.5703125" style="247" customWidth="1"/>
    <col min="5391" max="5391" width="11.5703125" style="247" customWidth="1"/>
    <col min="5393" max="5393" width="12.28515625" style="247" customWidth="1"/>
    <col min="5394" max="5394" width="12.140625" style="247" customWidth="1"/>
    <col min="5395" max="5395" width="12.28515625" style="247" customWidth="1"/>
    <col min="5396" max="5396" width="12.140625" style="247" customWidth="1"/>
    <col min="5397" max="5397" width="12.28515625" style="247" customWidth="1"/>
    <col min="5398" max="5398" width="12.140625" style="247" customWidth="1"/>
    <col min="5399" max="5399" width="12.28515625" style="247" customWidth="1"/>
    <col min="5400" max="5400" width="12.140625" style="247" customWidth="1"/>
    <col min="5401" max="5401" width="12.28515625" style="247" customWidth="1"/>
    <col min="5402" max="5402" width="12.140625" style="247" customWidth="1"/>
    <col min="5403" max="5419" width="11.42578125" style="247" customWidth="1"/>
    <col min="5432" max="5432" width="12.28515625" style="247" customWidth="1"/>
    <col min="5641" max="5641" width="17.28515625" style="247" customWidth="1"/>
    <col min="5642" max="5642" width="30.5703125" style="247" customWidth="1"/>
    <col min="5643" max="5643" width="13.28515625" style="247" customWidth="1"/>
    <col min="5644" max="5644" width="14.7109375" style="247" customWidth="1"/>
    <col min="5645" max="5645" width="10.5703125" style="247" customWidth="1"/>
    <col min="5647" max="5647" width="11.5703125" style="247" customWidth="1"/>
    <col min="5649" max="5649" width="12.28515625" style="247" customWidth="1"/>
    <col min="5650" max="5650" width="12.140625" style="247" customWidth="1"/>
    <col min="5651" max="5651" width="12.28515625" style="247" customWidth="1"/>
    <col min="5652" max="5652" width="12.140625" style="247" customWidth="1"/>
    <col min="5653" max="5653" width="12.28515625" style="247" customWidth="1"/>
    <col min="5654" max="5654" width="12.140625" style="247" customWidth="1"/>
    <col min="5655" max="5655" width="12.28515625" style="247" customWidth="1"/>
    <col min="5656" max="5656" width="12.140625" style="247" customWidth="1"/>
    <col min="5657" max="5657" width="12.28515625" style="247" customWidth="1"/>
    <col min="5658" max="5658" width="12.140625" style="247" customWidth="1"/>
    <col min="5659" max="5675" width="11.42578125" style="247" customWidth="1"/>
    <col min="5688" max="5688" width="12.28515625" style="247" customWidth="1"/>
    <col min="5897" max="5897" width="17.28515625" style="247" customWidth="1"/>
    <col min="5898" max="5898" width="30.5703125" style="247" customWidth="1"/>
    <col min="5899" max="5899" width="13.28515625" style="247" customWidth="1"/>
    <col min="5900" max="5900" width="14.7109375" style="247" customWidth="1"/>
    <col min="5901" max="5901" width="10.5703125" style="247" customWidth="1"/>
    <col min="5903" max="5903" width="11.5703125" style="247" customWidth="1"/>
    <col min="5905" max="5905" width="12.28515625" style="247" customWidth="1"/>
    <col min="5906" max="5906" width="12.140625" style="247" customWidth="1"/>
    <col min="5907" max="5907" width="12.28515625" style="247" customWidth="1"/>
    <col min="5908" max="5908" width="12.140625" style="247" customWidth="1"/>
    <col min="5909" max="5909" width="12.28515625" style="247" customWidth="1"/>
    <col min="5910" max="5910" width="12.140625" style="247" customWidth="1"/>
    <col min="5911" max="5911" width="12.28515625" style="247" customWidth="1"/>
    <col min="5912" max="5912" width="12.140625" style="247" customWidth="1"/>
    <col min="5913" max="5913" width="12.28515625" style="247" customWidth="1"/>
    <col min="5914" max="5914" width="12.140625" style="247" customWidth="1"/>
    <col min="5915" max="5931" width="11.42578125" style="247" customWidth="1"/>
    <col min="5944" max="5944" width="12.28515625" style="247" customWidth="1"/>
    <col min="6153" max="6153" width="17.28515625" style="247" customWidth="1"/>
    <col min="6154" max="6154" width="30.5703125" style="247" customWidth="1"/>
    <col min="6155" max="6155" width="13.28515625" style="247" customWidth="1"/>
    <col min="6156" max="6156" width="14.7109375" style="247" customWidth="1"/>
    <col min="6157" max="6157" width="10.5703125" style="247" customWidth="1"/>
    <col min="6159" max="6159" width="11.5703125" style="247" customWidth="1"/>
    <col min="6161" max="6161" width="12.28515625" style="247" customWidth="1"/>
    <col min="6162" max="6162" width="12.140625" style="247" customWidth="1"/>
    <col min="6163" max="6163" width="12.28515625" style="247" customWidth="1"/>
    <col min="6164" max="6164" width="12.140625" style="247" customWidth="1"/>
    <col min="6165" max="6165" width="12.28515625" style="247" customWidth="1"/>
    <col min="6166" max="6166" width="12.140625" style="247" customWidth="1"/>
    <col min="6167" max="6167" width="12.28515625" style="247" customWidth="1"/>
    <col min="6168" max="6168" width="12.140625" style="247" customWidth="1"/>
    <col min="6169" max="6169" width="12.28515625" style="247" customWidth="1"/>
    <col min="6170" max="6170" width="12.140625" style="247" customWidth="1"/>
    <col min="6171" max="6187" width="11.42578125" style="247" customWidth="1"/>
    <col min="6200" max="6200" width="12.28515625" style="247" customWidth="1"/>
    <col min="6409" max="6409" width="17.28515625" style="247" customWidth="1"/>
    <col min="6410" max="6410" width="30.5703125" style="247" customWidth="1"/>
    <col min="6411" max="6411" width="13.28515625" style="247" customWidth="1"/>
    <col min="6412" max="6412" width="14.7109375" style="247" customWidth="1"/>
    <col min="6413" max="6413" width="10.5703125" style="247" customWidth="1"/>
    <col min="6415" max="6415" width="11.5703125" style="247" customWidth="1"/>
    <col min="6417" max="6417" width="12.28515625" style="247" customWidth="1"/>
    <col min="6418" max="6418" width="12.140625" style="247" customWidth="1"/>
    <col min="6419" max="6419" width="12.28515625" style="247" customWidth="1"/>
    <col min="6420" max="6420" width="12.140625" style="247" customWidth="1"/>
    <col min="6421" max="6421" width="12.28515625" style="247" customWidth="1"/>
    <col min="6422" max="6422" width="12.140625" style="247" customWidth="1"/>
    <col min="6423" max="6423" width="12.28515625" style="247" customWidth="1"/>
    <col min="6424" max="6424" width="12.140625" style="247" customWidth="1"/>
    <col min="6425" max="6425" width="12.28515625" style="247" customWidth="1"/>
    <col min="6426" max="6426" width="12.140625" style="247" customWidth="1"/>
    <col min="6427" max="6443" width="11.42578125" style="247" customWidth="1"/>
    <col min="6456" max="6456" width="12.28515625" style="247" customWidth="1"/>
    <col min="6665" max="6665" width="17.28515625" style="247" customWidth="1"/>
    <col min="6666" max="6666" width="30.5703125" style="247" customWidth="1"/>
    <col min="6667" max="6667" width="13.28515625" style="247" customWidth="1"/>
    <col min="6668" max="6668" width="14.7109375" style="247" customWidth="1"/>
    <col min="6669" max="6669" width="10.5703125" style="247" customWidth="1"/>
    <col min="6671" max="6671" width="11.5703125" style="247" customWidth="1"/>
    <col min="6673" max="6673" width="12.28515625" style="247" customWidth="1"/>
    <col min="6674" max="6674" width="12.140625" style="247" customWidth="1"/>
    <col min="6675" max="6675" width="12.28515625" style="247" customWidth="1"/>
    <col min="6676" max="6676" width="12.140625" style="247" customWidth="1"/>
    <col min="6677" max="6677" width="12.28515625" style="247" customWidth="1"/>
    <col min="6678" max="6678" width="12.140625" style="247" customWidth="1"/>
    <col min="6679" max="6679" width="12.28515625" style="247" customWidth="1"/>
    <col min="6680" max="6680" width="12.140625" style="247" customWidth="1"/>
    <col min="6681" max="6681" width="12.28515625" style="247" customWidth="1"/>
    <col min="6682" max="6682" width="12.140625" style="247" customWidth="1"/>
    <col min="6683" max="6699" width="11.42578125" style="247" customWidth="1"/>
    <col min="6712" max="6712" width="12.28515625" style="247" customWidth="1"/>
    <col min="6921" max="6921" width="17.28515625" style="247" customWidth="1"/>
    <col min="6922" max="6922" width="30.5703125" style="247" customWidth="1"/>
    <col min="6923" max="6923" width="13.28515625" style="247" customWidth="1"/>
    <col min="6924" max="6924" width="14.7109375" style="247" customWidth="1"/>
    <col min="6925" max="6925" width="10.5703125" style="247" customWidth="1"/>
    <col min="6927" max="6927" width="11.5703125" style="247" customWidth="1"/>
    <col min="6929" max="6929" width="12.28515625" style="247" customWidth="1"/>
    <col min="6930" max="6930" width="12.140625" style="247" customWidth="1"/>
    <col min="6931" max="6931" width="12.28515625" style="247" customWidth="1"/>
    <col min="6932" max="6932" width="12.140625" style="247" customWidth="1"/>
    <col min="6933" max="6933" width="12.28515625" style="247" customWidth="1"/>
    <col min="6934" max="6934" width="12.140625" style="247" customWidth="1"/>
    <col min="6935" max="6935" width="12.28515625" style="247" customWidth="1"/>
    <col min="6936" max="6936" width="12.140625" style="247" customWidth="1"/>
    <col min="6937" max="6937" width="12.28515625" style="247" customWidth="1"/>
    <col min="6938" max="6938" width="12.140625" style="247" customWidth="1"/>
    <col min="6939" max="6955" width="11.42578125" style="247" customWidth="1"/>
    <col min="6968" max="6968" width="12.28515625" style="247" customWidth="1"/>
    <col min="7177" max="7177" width="17.28515625" style="247" customWidth="1"/>
    <col min="7178" max="7178" width="30.5703125" style="247" customWidth="1"/>
    <col min="7179" max="7179" width="13.28515625" style="247" customWidth="1"/>
    <col min="7180" max="7180" width="14.7109375" style="247" customWidth="1"/>
    <col min="7181" max="7181" width="10.5703125" style="247" customWidth="1"/>
    <col min="7183" max="7183" width="11.5703125" style="247" customWidth="1"/>
    <col min="7185" max="7185" width="12.28515625" style="247" customWidth="1"/>
    <col min="7186" max="7186" width="12.140625" style="247" customWidth="1"/>
    <col min="7187" max="7187" width="12.28515625" style="247" customWidth="1"/>
    <col min="7188" max="7188" width="12.140625" style="247" customWidth="1"/>
    <col min="7189" max="7189" width="12.28515625" style="247" customWidth="1"/>
    <col min="7190" max="7190" width="12.140625" style="247" customWidth="1"/>
    <col min="7191" max="7191" width="12.28515625" style="247" customWidth="1"/>
    <col min="7192" max="7192" width="12.140625" style="247" customWidth="1"/>
    <col min="7193" max="7193" width="12.28515625" style="247" customWidth="1"/>
    <col min="7194" max="7194" width="12.140625" style="247" customWidth="1"/>
    <col min="7195" max="7211" width="11.42578125" style="247" customWidth="1"/>
    <col min="7224" max="7224" width="12.28515625" style="247" customWidth="1"/>
    <col min="7433" max="7433" width="17.28515625" style="247" customWidth="1"/>
    <col min="7434" max="7434" width="30.5703125" style="247" customWidth="1"/>
    <col min="7435" max="7435" width="13.28515625" style="247" customWidth="1"/>
    <col min="7436" max="7436" width="14.7109375" style="247" customWidth="1"/>
    <col min="7437" max="7437" width="10.5703125" style="247" customWidth="1"/>
    <col min="7439" max="7439" width="11.5703125" style="247" customWidth="1"/>
    <col min="7441" max="7441" width="12.28515625" style="247" customWidth="1"/>
    <col min="7442" max="7442" width="12.140625" style="247" customWidth="1"/>
    <col min="7443" max="7443" width="12.28515625" style="247" customWidth="1"/>
    <col min="7444" max="7444" width="12.140625" style="247" customWidth="1"/>
    <col min="7445" max="7445" width="12.28515625" style="247" customWidth="1"/>
    <col min="7446" max="7446" width="12.140625" style="247" customWidth="1"/>
    <col min="7447" max="7447" width="12.28515625" style="247" customWidth="1"/>
    <col min="7448" max="7448" width="12.140625" style="247" customWidth="1"/>
    <col min="7449" max="7449" width="12.28515625" style="247" customWidth="1"/>
    <col min="7450" max="7450" width="12.140625" style="247" customWidth="1"/>
    <col min="7451" max="7467" width="11.42578125" style="247" customWidth="1"/>
    <col min="7480" max="7480" width="12.28515625" style="247" customWidth="1"/>
    <col min="7689" max="7689" width="17.28515625" style="247" customWidth="1"/>
    <col min="7690" max="7690" width="30.5703125" style="247" customWidth="1"/>
    <col min="7691" max="7691" width="13.28515625" style="247" customWidth="1"/>
    <col min="7692" max="7692" width="14.7109375" style="247" customWidth="1"/>
    <col min="7693" max="7693" width="10.5703125" style="247" customWidth="1"/>
    <col min="7695" max="7695" width="11.5703125" style="247" customWidth="1"/>
    <col min="7697" max="7697" width="12.28515625" style="247" customWidth="1"/>
    <col min="7698" max="7698" width="12.140625" style="247" customWidth="1"/>
    <col min="7699" max="7699" width="12.28515625" style="247" customWidth="1"/>
    <col min="7700" max="7700" width="12.140625" style="247" customWidth="1"/>
    <col min="7701" max="7701" width="12.28515625" style="247" customWidth="1"/>
    <col min="7702" max="7702" width="12.140625" style="247" customWidth="1"/>
    <col min="7703" max="7703" width="12.28515625" style="247" customWidth="1"/>
    <col min="7704" max="7704" width="12.140625" style="247" customWidth="1"/>
    <col min="7705" max="7705" width="12.28515625" style="247" customWidth="1"/>
    <col min="7706" max="7706" width="12.140625" style="247" customWidth="1"/>
    <col min="7707" max="7723" width="11.42578125" style="247" customWidth="1"/>
    <col min="7736" max="7736" width="12.28515625" style="247" customWidth="1"/>
    <col min="7945" max="7945" width="17.28515625" style="247" customWidth="1"/>
    <col min="7946" max="7946" width="30.5703125" style="247" customWidth="1"/>
    <col min="7947" max="7947" width="13.28515625" style="247" customWidth="1"/>
    <col min="7948" max="7948" width="14.7109375" style="247" customWidth="1"/>
    <col min="7949" max="7949" width="10.5703125" style="247" customWidth="1"/>
    <col min="7951" max="7951" width="11.5703125" style="247" customWidth="1"/>
    <col min="7953" max="7953" width="12.28515625" style="247" customWidth="1"/>
    <col min="7954" max="7954" width="12.140625" style="247" customWidth="1"/>
    <col min="7955" max="7955" width="12.28515625" style="247" customWidth="1"/>
    <col min="7956" max="7956" width="12.140625" style="247" customWidth="1"/>
    <col min="7957" max="7957" width="12.28515625" style="247" customWidth="1"/>
    <col min="7958" max="7958" width="12.140625" style="247" customWidth="1"/>
    <col min="7959" max="7959" width="12.28515625" style="247" customWidth="1"/>
    <col min="7960" max="7960" width="12.140625" style="247" customWidth="1"/>
    <col min="7961" max="7961" width="12.28515625" style="247" customWidth="1"/>
    <col min="7962" max="7962" width="12.140625" style="247" customWidth="1"/>
    <col min="7963" max="7979" width="11.42578125" style="247" customWidth="1"/>
    <col min="7992" max="7992" width="12.28515625" style="247" customWidth="1"/>
    <col min="8201" max="8201" width="17.28515625" style="247" customWidth="1"/>
    <col min="8202" max="8202" width="30.5703125" style="247" customWidth="1"/>
    <col min="8203" max="8203" width="13.28515625" style="247" customWidth="1"/>
    <col min="8204" max="8204" width="14.7109375" style="247" customWidth="1"/>
    <col min="8205" max="8205" width="10.5703125" style="247" customWidth="1"/>
    <col min="8207" max="8207" width="11.5703125" style="247" customWidth="1"/>
    <col min="8209" max="8209" width="12.28515625" style="247" customWidth="1"/>
    <col min="8210" max="8210" width="12.140625" style="247" customWidth="1"/>
    <col min="8211" max="8211" width="12.28515625" style="247" customWidth="1"/>
    <col min="8212" max="8212" width="12.140625" style="247" customWidth="1"/>
    <col min="8213" max="8213" width="12.28515625" style="247" customWidth="1"/>
    <col min="8214" max="8214" width="12.140625" style="247" customWidth="1"/>
    <col min="8215" max="8215" width="12.28515625" style="247" customWidth="1"/>
    <col min="8216" max="8216" width="12.140625" style="247" customWidth="1"/>
    <col min="8217" max="8217" width="12.28515625" style="247" customWidth="1"/>
    <col min="8218" max="8218" width="12.140625" style="247" customWidth="1"/>
    <col min="8219" max="8235" width="11.42578125" style="247" customWidth="1"/>
    <col min="8248" max="8248" width="12.28515625" style="247" customWidth="1"/>
    <col min="8457" max="8457" width="17.28515625" style="247" customWidth="1"/>
    <col min="8458" max="8458" width="30.5703125" style="247" customWidth="1"/>
    <col min="8459" max="8459" width="13.28515625" style="247" customWidth="1"/>
    <col min="8460" max="8460" width="14.7109375" style="247" customWidth="1"/>
    <col min="8461" max="8461" width="10.5703125" style="247" customWidth="1"/>
    <col min="8463" max="8463" width="11.5703125" style="247" customWidth="1"/>
    <col min="8465" max="8465" width="12.28515625" style="247" customWidth="1"/>
    <col min="8466" max="8466" width="12.140625" style="247" customWidth="1"/>
    <col min="8467" max="8467" width="12.28515625" style="247" customWidth="1"/>
    <col min="8468" max="8468" width="12.140625" style="247" customWidth="1"/>
    <col min="8469" max="8469" width="12.28515625" style="247" customWidth="1"/>
    <col min="8470" max="8470" width="12.140625" style="247" customWidth="1"/>
    <col min="8471" max="8471" width="12.28515625" style="247" customWidth="1"/>
    <col min="8472" max="8472" width="12.140625" style="247" customWidth="1"/>
    <col min="8473" max="8473" width="12.28515625" style="247" customWidth="1"/>
    <col min="8474" max="8474" width="12.140625" style="247" customWidth="1"/>
    <col min="8475" max="8491" width="11.42578125" style="247" customWidth="1"/>
    <col min="8504" max="8504" width="12.28515625" style="247" customWidth="1"/>
    <col min="8713" max="8713" width="17.28515625" style="247" customWidth="1"/>
    <col min="8714" max="8714" width="30.5703125" style="247" customWidth="1"/>
    <col min="8715" max="8715" width="13.28515625" style="247" customWidth="1"/>
    <col min="8716" max="8716" width="14.7109375" style="247" customWidth="1"/>
    <col min="8717" max="8717" width="10.5703125" style="247" customWidth="1"/>
    <col min="8719" max="8719" width="11.5703125" style="247" customWidth="1"/>
    <col min="8721" max="8721" width="12.28515625" style="247" customWidth="1"/>
    <col min="8722" max="8722" width="12.140625" style="247" customWidth="1"/>
    <col min="8723" max="8723" width="12.28515625" style="247" customWidth="1"/>
    <col min="8724" max="8724" width="12.140625" style="247" customWidth="1"/>
    <col min="8725" max="8725" width="12.28515625" style="247" customWidth="1"/>
    <col min="8726" max="8726" width="12.140625" style="247" customWidth="1"/>
    <col min="8727" max="8727" width="12.28515625" style="247" customWidth="1"/>
    <col min="8728" max="8728" width="12.140625" style="247" customWidth="1"/>
    <col min="8729" max="8729" width="12.28515625" style="247" customWidth="1"/>
    <col min="8730" max="8730" width="12.140625" style="247" customWidth="1"/>
    <col min="8731" max="8747" width="11.42578125" style="247" customWidth="1"/>
    <col min="8760" max="8760" width="12.28515625" style="247" customWidth="1"/>
    <col min="8969" max="8969" width="17.28515625" style="247" customWidth="1"/>
    <col min="8970" max="8970" width="30.5703125" style="247" customWidth="1"/>
    <col min="8971" max="8971" width="13.28515625" style="247" customWidth="1"/>
    <col min="8972" max="8972" width="14.7109375" style="247" customWidth="1"/>
    <col min="8973" max="8973" width="10.5703125" style="247" customWidth="1"/>
    <col min="8975" max="8975" width="11.5703125" style="247" customWidth="1"/>
    <col min="8977" max="8977" width="12.28515625" style="247" customWidth="1"/>
    <col min="8978" max="8978" width="12.140625" style="247" customWidth="1"/>
    <col min="8979" max="8979" width="12.28515625" style="247" customWidth="1"/>
    <col min="8980" max="8980" width="12.140625" style="247" customWidth="1"/>
    <col min="8981" max="8981" width="12.28515625" style="247" customWidth="1"/>
    <col min="8982" max="8982" width="12.140625" style="247" customWidth="1"/>
    <col min="8983" max="8983" width="12.28515625" style="247" customWidth="1"/>
    <col min="8984" max="8984" width="12.140625" style="247" customWidth="1"/>
    <col min="8985" max="8985" width="12.28515625" style="247" customWidth="1"/>
    <col min="8986" max="8986" width="12.140625" style="247" customWidth="1"/>
    <col min="8987" max="9003" width="11.42578125" style="247" customWidth="1"/>
    <col min="9016" max="9016" width="12.28515625" style="247" customWidth="1"/>
    <col min="9225" max="9225" width="17.28515625" style="247" customWidth="1"/>
    <col min="9226" max="9226" width="30.5703125" style="247" customWidth="1"/>
    <col min="9227" max="9227" width="13.28515625" style="247" customWidth="1"/>
    <col min="9228" max="9228" width="14.7109375" style="247" customWidth="1"/>
    <col min="9229" max="9229" width="10.5703125" style="247" customWidth="1"/>
    <col min="9231" max="9231" width="11.5703125" style="247" customWidth="1"/>
    <col min="9233" max="9233" width="12.28515625" style="247" customWidth="1"/>
    <col min="9234" max="9234" width="12.140625" style="247" customWidth="1"/>
    <col min="9235" max="9235" width="12.28515625" style="247" customWidth="1"/>
    <col min="9236" max="9236" width="12.140625" style="247" customWidth="1"/>
    <col min="9237" max="9237" width="12.28515625" style="247" customWidth="1"/>
    <col min="9238" max="9238" width="12.140625" style="247" customWidth="1"/>
    <col min="9239" max="9239" width="12.28515625" style="247" customWidth="1"/>
    <col min="9240" max="9240" width="12.140625" style="247" customWidth="1"/>
    <col min="9241" max="9241" width="12.28515625" style="247" customWidth="1"/>
    <col min="9242" max="9242" width="12.140625" style="247" customWidth="1"/>
    <col min="9243" max="9259" width="11.42578125" style="247" customWidth="1"/>
    <col min="9272" max="9272" width="12.28515625" style="247" customWidth="1"/>
    <col min="9481" max="9481" width="17.28515625" style="247" customWidth="1"/>
    <col min="9482" max="9482" width="30.5703125" style="247" customWidth="1"/>
    <col min="9483" max="9483" width="13.28515625" style="247" customWidth="1"/>
    <col min="9484" max="9484" width="14.7109375" style="247" customWidth="1"/>
    <col min="9485" max="9485" width="10.5703125" style="247" customWidth="1"/>
    <col min="9487" max="9487" width="11.5703125" style="247" customWidth="1"/>
    <col min="9489" max="9489" width="12.28515625" style="247" customWidth="1"/>
    <col min="9490" max="9490" width="12.140625" style="247" customWidth="1"/>
    <col min="9491" max="9491" width="12.28515625" style="247" customWidth="1"/>
    <col min="9492" max="9492" width="12.140625" style="247" customWidth="1"/>
    <col min="9493" max="9493" width="12.28515625" style="247" customWidth="1"/>
    <col min="9494" max="9494" width="12.140625" style="247" customWidth="1"/>
    <col min="9495" max="9495" width="12.28515625" style="247" customWidth="1"/>
    <col min="9496" max="9496" width="12.140625" style="247" customWidth="1"/>
    <col min="9497" max="9497" width="12.28515625" style="247" customWidth="1"/>
    <col min="9498" max="9498" width="12.140625" style="247" customWidth="1"/>
    <col min="9499" max="9515" width="11.42578125" style="247" customWidth="1"/>
    <col min="9528" max="9528" width="12.28515625" style="247" customWidth="1"/>
    <col min="9737" max="9737" width="17.28515625" style="247" customWidth="1"/>
    <col min="9738" max="9738" width="30.5703125" style="247" customWidth="1"/>
    <col min="9739" max="9739" width="13.28515625" style="247" customWidth="1"/>
    <col min="9740" max="9740" width="14.7109375" style="247" customWidth="1"/>
    <col min="9741" max="9741" width="10.5703125" style="247" customWidth="1"/>
    <col min="9743" max="9743" width="11.5703125" style="247" customWidth="1"/>
    <col min="9745" max="9745" width="12.28515625" style="247" customWidth="1"/>
    <col min="9746" max="9746" width="12.140625" style="247" customWidth="1"/>
    <col min="9747" max="9747" width="12.28515625" style="247" customWidth="1"/>
    <col min="9748" max="9748" width="12.140625" style="247" customWidth="1"/>
    <col min="9749" max="9749" width="12.28515625" style="247" customWidth="1"/>
    <col min="9750" max="9750" width="12.140625" style="247" customWidth="1"/>
    <col min="9751" max="9751" width="12.28515625" style="247" customWidth="1"/>
    <col min="9752" max="9752" width="12.140625" style="247" customWidth="1"/>
    <col min="9753" max="9753" width="12.28515625" style="247" customWidth="1"/>
    <col min="9754" max="9754" width="12.140625" style="247" customWidth="1"/>
    <col min="9755" max="9771" width="11.42578125" style="247" customWidth="1"/>
    <col min="9784" max="9784" width="12.28515625" style="247" customWidth="1"/>
    <col min="9993" max="9993" width="17.28515625" style="247" customWidth="1"/>
    <col min="9994" max="9994" width="30.5703125" style="247" customWidth="1"/>
    <col min="9995" max="9995" width="13.28515625" style="247" customWidth="1"/>
    <col min="9996" max="9996" width="14.7109375" style="247" customWidth="1"/>
    <col min="9997" max="9997" width="10.5703125" style="247" customWidth="1"/>
    <col min="9999" max="9999" width="11.5703125" style="247" customWidth="1"/>
    <col min="10001" max="10001" width="12.28515625" style="247" customWidth="1"/>
    <col min="10002" max="10002" width="12.140625" style="247" customWidth="1"/>
    <col min="10003" max="10003" width="12.28515625" style="247" customWidth="1"/>
    <col min="10004" max="10004" width="12.140625" style="247" customWidth="1"/>
    <col min="10005" max="10005" width="12.28515625" style="247" customWidth="1"/>
    <col min="10006" max="10006" width="12.140625" style="247" customWidth="1"/>
    <col min="10007" max="10007" width="12.28515625" style="247" customWidth="1"/>
    <col min="10008" max="10008" width="12.140625" style="247" customWidth="1"/>
    <col min="10009" max="10009" width="12.28515625" style="247" customWidth="1"/>
    <col min="10010" max="10010" width="12.140625" style="247" customWidth="1"/>
    <col min="10011" max="10027" width="11.42578125" style="247" customWidth="1"/>
    <col min="10040" max="10040" width="12.28515625" style="247" customWidth="1"/>
    <col min="10249" max="10249" width="17.28515625" style="247" customWidth="1"/>
    <col min="10250" max="10250" width="30.5703125" style="247" customWidth="1"/>
    <col min="10251" max="10251" width="13.28515625" style="247" customWidth="1"/>
    <col min="10252" max="10252" width="14.7109375" style="247" customWidth="1"/>
    <col min="10253" max="10253" width="10.5703125" style="247" customWidth="1"/>
    <col min="10255" max="10255" width="11.5703125" style="247" customWidth="1"/>
    <col min="10257" max="10257" width="12.28515625" style="247" customWidth="1"/>
    <col min="10258" max="10258" width="12.140625" style="247" customWidth="1"/>
    <col min="10259" max="10259" width="12.28515625" style="247" customWidth="1"/>
    <col min="10260" max="10260" width="12.140625" style="247" customWidth="1"/>
    <col min="10261" max="10261" width="12.28515625" style="247" customWidth="1"/>
    <col min="10262" max="10262" width="12.140625" style="247" customWidth="1"/>
    <col min="10263" max="10263" width="12.28515625" style="247" customWidth="1"/>
    <col min="10264" max="10264" width="12.140625" style="247" customWidth="1"/>
    <col min="10265" max="10265" width="12.28515625" style="247" customWidth="1"/>
    <col min="10266" max="10266" width="12.140625" style="247" customWidth="1"/>
    <col min="10267" max="10283" width="11.42578125" style="247" customWidth="1"/>
    <col min="10296" max="10296" width="12.28515625" style="247" customWidth="1"/>
    <col min="10505" max="10505" width="17.28515625" style="247" customWidth="1"/>
    <col min="10506" max="10506" width="30.5703125" style="247" customWidth="1"/>
    <col min="10507" max="10507" width="13.28515625" style="247" customWidth="1"/>
    <col min="10508" max="10508" width="14.7109375" style="247" customWidth="1"/>
    <col min="10509" max="10509" width="10.5703125" style="247" customWidth="1"/>
    <col min="10511" max="10511" width="11.5703125" style="247" customWidth="1"/>
    <col min="10513" max="10513" width="12.28515625" style="247" customWidth="1"/>
    <col min="10514" max="10514" width="12.140625" style="247" customWidth="1"/>
    <col min="10515" max="10515" width="12.28515625" style="247" customWidth="1"/>
    <col min="10516" max="10516" width="12.140625" style="247" customWidth="1"/>
    <col min="10517" max="10517" width="12.28515625" style="247" customWidth="1"/>
    <col min="10518" max="10518" width="12.140625" style="247" customWidth="1"/>
    <col min="10519" max="10519" width="12.28515625" style="247" customWidth="1"/>
    <col min="10520" max="10520" width="12.140625" style="247" customWidth="1"/>
    <col min="10521" max="10521" width="12.28515625" style="247" customWidth="1"/>
    <col min="10522" max="10522" width="12.140625" style="247" customWidth="1"/>
    <col min="10523" max="10539" width="11.42578125" style="247" customWidth="1"/>
    <col min="10552" max="10552" width="12.28515625" style="247" customWidth="1"/>
    <col min="10761" max="10761" width="17.28515625" style="247" customWidth="1"/>
    <col min="10762" max="10762" width="30.5703125" style="247" customWidth="1"/>
    <col min="10763" max="10763" width="13.28515625" style="247" customWidth="1"/>
    <col min="10764" max="10764" width="14.7109375" style="247" customWidth="1"/>
    <col min="10765" max="10765" width="10.5703125" style="247" customWidth="1"/>
    <col min="10767" max="10767" width="11.5703125" style="247" customWidth="1"/>
    <col min="10769" max="10769" width="12.28515625" style="247" customWidth="1"/>
    <col min="10770" max="10770" width="12.140625" style="247" customWidth="1"/>
    <col min="10771" max="10771" width="12.28515625" style="247" customWidth="1"/>
    <col min="10772" max="10772" width="12.140625" style="247" customWidth="1"/>
    <col min="10773" max="10773" width="12.28515625" style="247" customWidth="1"/>
    <col min="10774" max="10774" width="12.140625" style="247" customWidth="1"/>
    <col min="10775" max="10775" width="12.28515625" style="247" customWidth="1"/>
    <col min="10776" max="10776" width="12.140625" style="247" customWidth="1"/>
    <col min="10777" max="10777" width="12.28515625" style="247" customWidth="1"/>
    <col min="10778" max="10778" width="12.140625" style="247" customWidth="1"/>
    <col min="10779" max="10795" width="11.42578125" style="247" customWidth="1"/>
    <col min="10808" max="10808" width="12.28515625" style="247" customWidth="1"/>
    <col min="11017" max="11017" width="17.28515625" style="247" customWidth="1"/>
    <col min="11018" max="11018" width="30.5703125" style="247" customWidth="1"/>
    <col min="11019" max="11019" width="13.28515625" style="247" customWidth="1"/>
    <col min="11020" max="11020" width="14.7109375" style="247" customWidth="1"/>
    <col min="11021" max="11021" width="10.5703125" style="247" customWidth="1"/>
    <col min="11023" max="11023" width="11.5703125" style="247" customWidth="1"/>
    <col min="11025" max="11025" width="12.28515625" style="247" customWidth="1"/>
    <col min="11026" max="11026" width="12.140625" style="247" customWidth="1"/>
    <col min="11027" max="11027" width="12.28515625" style="247" customWidth="1"/>
    <col min="11028" max="11028" width="12.140625" style="247" customWidth="1"/>
    <col min="11029" max="11029" width="12.28515625" style="247" customWidth="1"/>
    <col min="11030" max="11030" width="12.140625" style="247" customWidth="1"/>
    <col min="11031" max="11031" width="12.28515625" style="247" customWidth="1"/>
    <col min="11032" max="11032" width="12.140625" style="247" customWidth="1"/>
    <col min="11033" max="11033" width="12.28515625" style="247" customWidth="1"/>
    <col min="11034" max="11034" width="12.140625" style="247" customWidth="1"/>
    <col min="11035" max="11051" width="11.42578125" style="247" customWidth="1"/>
    <col min="11064" max="11064" width="12.28515625" style="247" customWidth="1"/>
    <col min="11273" max="11273" width="17.28515625" style="247" customWidth="1"/>
    <col min="11274" max="11274" width="30.5703125" style="247" customWidth="1"/>
    <col min="11275" max="11275" width="13.28515625" style="247" customWidth="1"/>
    <col min="11276" max="11276" width="14.7109375" style="247" customWidth="1"/>
    <col min="11277" max="11277" width="10.5703125" style="247" customWidth="1"/>
    <col min="11279" max="11279" width="11.5703125" style="247" customWidth="1"/>
    <col min="11281" max="11281" width="12.28515625" style="247" customWidth="1"/>
    <col min="11282" max="11282" width="12.140625" style="247" customWidth="1"/>
    <col min="11283" max="11283" width="12.28515625" style="247" customWidth="1"/>
    <col min="11284" max="11284" width="12.140625" style="247" customWidth="1"/>
    <col min="11285" max="11285" width="12.28515625" style="247" customWidth="1"/>
    <col min="11286" max="11286" width="12.140625" style="247" customWidth="1"/>
    <col min="11287" max="11287" width="12.28515625" style="247" customWidth="1"/>
    <col min="11288" max="11288" width="12.140625" style="247" customWidth="1"/>
    <col min="11289" max="11289" width="12.28515625" style="247" customWidth="1"/>
    <col min="11290" max="11290" width="12.140625" style="247" customWidth="1"/>
    <col min="11291" max="11307" width="11.42578125" style="247" customWidth="1"/>
    <col min="11320" max="11320" width="12.28515625" style="247" customWidth="1"/>
    <col min="11529" max="11529" width="17.28515625" style="247" customWidth="1"/>
    <col min="11530" max="11530" width="30.5703125" style="247" customWidth="1"/>
    <col min="11531" max="11531" width="13.28515625" style="247" customWidth="1"/>
    <col min="11532" max="11532" width="14.7109375" style="247" customWidth="1"/>
    <col min="11533" max="11533" width="10.5703125" style="247" customWidth="1"/>
    <col min="11535" max="11535" width="11.5703125" style="247" customWidth="1"/>
    <col min="11537" max="11537" width="12.28515625" style="247" customWidth="1"/>
    <col min="11538" max="11538" width="12.140625" style="247" customWidth="1"/>
    <col min="11539" max="11539" width="12.28515625" style="247" customWidth="1"/>
    <col min="11540" max="11540" width="12.140625" style="247" customWidth="1"/>
    <col min="11541" max="11541" width="12.28515625" style="247" customWidth="1"/>
    <col min="11542" max="11542" width="12.140625" style="247" customWidth="1"/>
    <col min="11543" max="11543" width="12.28515625" style="247" customWidth="1"/>
    <col min="11544" max="11544" width="12.140625" style="247" customWidth="1"/>
    <col min="11545" max="11545" width="12.28515625" style="247" customWidth="1"/>
    <col min="11546" max="11546" width="12.140625" style="247" customWidth="1"/>
    <col min="11547" max="11563" width="11.42578125" style="247" customWidth="1"/>
    <col min="11576" max="11576" width="12.28515625" style="247" customWidth="1"/>
    <col min="11785" max="11785" width="17.28515625" style="247" customWidth="1"/>
    <col min="11786" max="11786" width="30.5703125" style="247" customWidth="1"/>
    <col min="11787" max="11787" width="13.28515625" style="247" customWidth="1"/>
    <col min="11788" max="11788" width="14.7109375" style="247" customWidth="1"/>
    <col min="11789" max="11789" width="10.5703125" style="247" customWidth="1"/>
    <col min="11791" max="11791" width="11.5703125" style="247" customWidth="1"/>
    <col min="11793" max="11793" width="12.28515625" style="247" customWidth="1"/>
    <col min="11794" max="11794" width="12.140625" style="247" customWidth="1"/>
    <col min="11795" max="11795" width="12.28515625" style="247" customWidth="1"/>
    <col min="11796" max="11796" width="12.140625" style="247" customWidth="1"/>
    <col min="11797" max="11797" width="12.28515625" style="247" customWidth="1"/>
    <col min="11798" max="11798" width="12.140625" style="247" customWidth="1"/>
    <col min="11799" max="11799" width="12.28515625" style="247" customWidth="1"/>
    <col min="11800" max="11800" width="12.140625" style="247" customWidth="1"/>
    <col min="11801" max="11801" width="12.28515625" style="247" customWidth="1"/>
    <col min="11802" max="11802" width="12.140625" style="247" customWidth="1"/>
    <col min="11803" max="11819" width="11.42578125" style="247" customWidth="1"/>
    <col min="11832" max="11832" width="12.28515625" style="247" customWidth="1"/>
    <col min="12041" max="12041" width="17.28515625" style="247" customWidth="1"/>
    <col min="12042" max="12042" width="30.5703125" style="247" customWidth="1"/>
    <col min="12043" max="12043" width="13.28515625" style="247" customWidth="1"/>
    <col min="12044" max="12044" width="14.7109375" style="247" customWidth="1"/>
    <col min="12045" max="12045" width="10.5703125" style="247" customWidth="1"/>
    <col min="12047" max="12047" width="11.5703125" style="247" customWidth="1"/>
    <col min="12049" max="12049" width="12.28515625" style="247" customWidth="1"/>
    <col min="12050" max="12050" width="12.140625" style="247" customWidth="1"/>
    <col min="12051" max="12051" width="12.28515625" style="247" customWidth="1"/>
    <col min="12052" max="12052" width="12.140625" style="247" customWidth="1"/>
    <col min="12053" max="12053" width="12.28515625" style="247" customWidth="1"/>
    <col min="12054" max="12054" width="12.140625" style="247" customWidth="1"/>
    <col min="12055" max="12055" width="12.28515625" style="247" customWidth="1"/>
    <col min="12056" max="12056" width="12.140625" style="247" customWidth="1"/>
    <col min="12057" max="12057" width="12.28515625" style="247" customWidth="1"/>
    <col min="12058" max="12058" width="12.140625" style="247" customWidth="1"/>
    <col min="12059" max="12075" width="11.42578125" style="247" customWidth="1"/>
    <col min="12088" max="12088" width="12.28515625" style="247" customWidth="1"/>
    <col min="12297" max="12297" width="17.28515625" style="247" customWidth="1"/>
    <col min="12298" max="12298" width="30.5703125" style="247" customWidth="1"/>
    <col min="12299" max="12299" width="13.28515625" style="247" customWidth="1"/>
    <col min="12300" max="12300" width="14.7109375" style="247" customWidth="1"/>
    <col min="12301" max="12301" width="10.5703125" style="247" customWidth="1"/>
    <col min="12303" max="12303" width="11.5703125" style="247" customWidth="1"/>
    <col min="12305" max="12305" width="12.28515625" style="247" customWidth="1"/>
    <col min="12306" max="12306" width="12.140625" style="247" customWidth="1"/>
    <col min="12307" max="12307" width="12.28515625" style="247" customWidth="1"/>
    <col min="12308" max="12308" width="12.140625" style="247" customWidth="1"/>
    <col min="12309" max="12309" width="12.28515625" style="247" customWidth="1"/>
    <col min="12310" max="12310" width="12.140625" style="247" customWidth="1"/>
    <col min="12311" max="12311" width="12.28515625" style="247" customWidth="1"/>
    <col min="12312" max="12312" width="12.140625" style="247" customWidth="1"/>
    <col min="12313" max="12313" width="12.28515625" style="247" customWidth="1"/>
    <col min="12314" max="12314" width="12.140625" style="247" customWidth="1"/>
    <col min="12315" max="12331" width="11.42578125" style="247" customWidth="1"/>
    <col min="12344" max="12344" width="12.28515625" style="247" customWidth="1"/>
    <col min="12553" max="12553" width="17.28515625" style="247" customWidth="1"/>
    <col min="12554" max="12554" width="30.5703125" style="247" customWidth="1"/>
    <col min="12555" max="12555" width="13.28515625" style="247" customWidth="1"/>
    <col min="12556" max="12556" width="14.7109375" style="247" customWidth="1"/>
    <col min="12557" max="12557" width="10.5703125" style="247" customWidth="1"/>
    <col min="12559" max="12559" width="11.5703125" style="247" customWidth="1"/>
    <col min="12561" max="12561" width="12.28515625" style="247" customWidth="1"/>
    <col min="12562" max="12562" width="12.140625" style="247" customWidth="1"/>
    <col min="12563" max="12563" width="12.28515625" style="247" customWidth="1"/>
    <col min="12564" max="12564" width="12.140625" style="247" customWidth="1"/>
    <col min="12565" max="12565" width="12.28515625" style="247" customWidth="1"/>
    <col min="12566" max="12566" width="12.140625" style="247" customWidth="1"/>
    <col min="12567" max="12567" width="12.28515625" style="247" customWidth="1"/>
    <col min="12568" max="12568" width="12.140625" style="247" customWidth="1"/>
    <col min="12569" max="12569" width="12.28515625" style="247" customWidth="1"/>
    <col min="12570" max="12570" width="12.140625" style="247" customWidth="1"/>
    <col min="12571" max="12587" width="11.42578125" style="247" customWidth="1"/>
    <col min="12600" max="12600" width="12.28515625" style="247" customWidth="1"/>
    <col min="12809" max="12809" width="17.28515625" style="247" customWidth="1"/>
    <col min="12810" max="12810" width="30.5703125" style="247" customWidth="1"/>
    <col min="12811" max="12811" width="13.28515625" style="247" customWidth="1"/>
    <col min="12812" max="12812" width="14.7109375" style="247" customWidth="1"/>
    <col min="12813" max="12813" width="10.5703125" style="247" customWidth="1"/>
    <col min="12815" max="12815" width="11.5703125" style="247" customWidth="1"/>
    <col min="12817" max="12817" width="12.28515625" style="247" customWidth="1"/>
    <col min="12818" max="12818" width="12.140625" style="247" customWidth="1"/>
    <col min="12819" max="12819" width="12.28515625" style="247" customWidth="1"/>
    <col min="12820" max="12820" width="12.140625" style="247" customWidth="1"/>
    <col min="12821" max="12821" width="12.28515625" style="247" customWidth="1"/>
    <col min="12822" max="12822" width="12.140625" style="247" customWidth="1"/>
    <col min="12823" max="12823" width="12.28515625" style="247" customWidth="1"/>
    <col min="12824" max="12824" width="12.140625" style="247" customWidth="1"/>
    <col min="12825" max="12825" width="12.28515625" style="247" customWidth="1"/>
    <col min="12826" max="12826" width="12.140625" style="247" customWidth="1"/>
    <col min="12827" max="12843" width="11.42578125" style="247" customWidth="1"/>
    <col min="12856" max="12856" width="12.28515625" style="247" customWidth="1"/>
    <col min="13065" max="13065" width="17.28515625" style="247" customWidth="1"/>
    <col min="13066" max="13066" width="30.5703125" style="247" customWidth="1"/>
    <col min="13067" max="13067" width="13.28515625" style="247" customWidth="1"/>
    <col min="13068" max="13068" width="14.7109375" style="247" customWidth="1"/>
    <col min="13069" max="13069" width="10.5703125" style="247" customWidth="1"/>
    <col min="13071" max="13071" width="11.5703125" style="247" customWidth="1"/>
    <col min="13073" max="13073" width="12.28515625" style="247" customWidth="1"/>
    <col min="13074" max="13074" width="12.140625" style="247" customWidth="1"/>
    <col min="13075" max="13075" width="12.28515625" style="247" customWidth="1"/>
    <col min="13076" max="13076" width="12.140625" style="247" customWidth="1"/>
    <col min="13077" max="13077" width="12.28515625" style="247" customWidth="1"/>
    <col min="13078" max="13078" width="12.140625" style="247" customWidth="1"/>
    <col min="13079" max="13079" width="12.28515625" style="247" customWidth="1"/>
    <col min="13080" max="13080" width="12.140625" style="247" customWidth="1"/>
    <col min="13081" max="13081" width="12.28515625" style="247" customWidth="1"/>
    <col min="13082" max="13082" width="12.140625" style="247" customWidth="1"/>
    <col min="13083" max="13099" width="11.42578125" style="247" customWidth="1"/>
    <col min="13112" max="13112" width="12.28515625" style="247" customWidth="1"/>
    <col min="13321" max="13321" width="17.28515625" style="247" customWidth="1"/>
    <col min="13322" max="13322" width="30.5703125" style="247" customWidth="1"/>
    <col min="13323" max="13323" width="13.28515625" style="247" customWidth="1"/>
    <col min="13324" max="13324" width="14.7109375" style="247" customWidth="1"/>
    <col min="13325" max="13325" width="10.5703125" style="247" customWidth="1"/>
    <col min="13327" max="13327" width="11.5703125" style="247" customWidth="1"/>
    <col min="13329" max="13329" width="12.28515625" style="247" customWidth="1"/>
    <col min="13330" max="13330" width="12.140625" style="247" customWidth="1"/>
    <col min="13331" max="13331" width="12.28515625" style="247" customWidth="1"/>
    <col min="13332" max="13332" width="12.140625" style="247" customWidth="1"/>
    <col min="13333" max="13333" width="12.28515625" style="247" customWidth="1"/>
    <col min="13334" max="13334" width="12.140625" style="247" customWidth="1"/>
    <col min="13335" max="13335" width="12.28515625" style="247" customWidth="1"/>
    <col min="13336" max="13336" width="12.140625" style="247" customWidth="1"/>
    <col min="13337" max="13337" width="12.28515625" style="247" customWidth="1"/>
    <col min="13338" max="13338" width="12.140625" style="247" customWidth="1"/>
    <col min="13339" max="13355" width="11.42578125" style="247" customWidth="1"/>
    <col min="13368" max="13368" width="12.28515625" style="247" customWidth="1"/>
    <col min="13577" max="13577" width="17.28515625" style="247" customWidth="1"/>
    <col min="13578" max="13578" width="30.5703125" style="247" customWidth="1"/>
    <col min="13579" max="13579" width="13.28515625" style="247" customWidth="1"/>
    <col min="13580" max="13580" width="14.7109375" style="247" customWidth="1"/>
    <col min="13581" max="13581" width="10.5703125" style="247" customWidth="1"/>
    <col min="13583" max="13583" width="11.5703125" style="247" customWidth="1"/>
    <col min="13585" max="13585" width="12.28515625" style="247" customWidth="1"/>
    <col min="13586" max="13586" width="12.140625" style="247" customWidth="1"/>
    <col min="13587" max="13587" width="12.28515625" style="247" customWidth="1"/>
    <col min="13588" max="13588" width="12.140625" style="247" customWidth="1"/>
    <col min="13589" max="13589" width="12.28515625" style="247" customWidth="1"/>
    <col min="13590" max="13590" width="12.140625" style="247" customWidth="1"/>
    <col min="13591" max="13591" width="12.28515625" style="247" customWidth="1"/>
    <col min="13592" max="13592" width="12.140625" style="247" customWidth="1"/>
    <col min="13593" max="13593" width="12.28515625" style="247" customWidth="1"/>
    <col min="13594" max="13594" width="12.140625" style="247" customWidth="1"/>
    <col min="13595" max="13611" width="11.42578125" style="247" customWidth="1"/>
    <col min="13624" max="13624" width="12.28515625" style="247" customWidth="1"/>
    <col min="13833" max="13833" width="17.28515625" style="247" customWidth="1"/>
    <col min="13834" max="13834" width="30.5703125" style="247" customWidth="1"/>
    <col min="13835" max="13835" width="13.28515625" style="247" customWidth="1"/>
    <col min="13836" max="13836" width="14.7109375" style="247" customWidth="1"/>
    <col min="13837" max="13837" width="10.5703125" style="247" customWidth="1"/>
    <col min="13839" max="13839" width="11.5703125" style="247" customWidth="1"/>
    <col min="13841" max="13841" width="12.28515625" style="247" customWidth="1"/>
    <col min="13842" max="13842" width="12.140625" style="247" customWidth="1"/>
    <col min="13843" max="13843" width="12.28515625" style="247" customWidth="1"/>
    <col min="13844" max="13844" width="12.140625" style="247" customWidth="1"/>
    <col min="13845" max="13845" width="12.28515625" style="247" customWidth="1"/>
    <col min="13846" max="13846" width="12.140625" style="247" customWidth="1"/>
    <col min="13847" max="13847" width="12.28515625" style="247" customWidth="1"/>
    <col min="13848" max="13848" width="12.140625" style="247" customWidth="1"/>
    <col min="13849" max="13849" width="12.28515625" style="247" customWidth="1"/>
    <col min="13850" max="13850" width="12.140625" style="247" customWidth="1"/>
    <col min="13851" max="13867" width="11.42578125" style="247" customWidth="1"/>
    <col min="13880" max="13880" width="12.28515625" style="247" customWidth="1"/>
    <col min="14089" max="14089" width="17.28515625" style="247" customWidth="1"/>
    <col min="14090" max="14090" width="30.5703125" style="247" customWidth="1"/>
    <col min="14091" max="14091" width="13.28515625" style="247" customWidth="1"/>
    <col min="14092" max="14092" width="14.7109375" style="247" customWidth="1"/>
    <col min="14093" max="14093" width="10.5703125" style="247" customWidth="1"/>
    <col min="14095" max="14095" width="11.5703125" style="247" customWidth="1"/>
    <col min="14097" max="14097" width="12.28515625" style="247" customWidth="1"/>
    <col min="14098" max="14098" width="12.140625" style="247" customWidth="1"/>
    <col min="14099" max="14099" width="12.28515625" style="247" customWidth="1"/>
    <col min="14100" max="14100" width="12.140625" style="247" customWidth="1"/>
    <col min="14101" max="14101" width="12.28515625" style="247" customWidth="1"/>
    <col min="14102" max="14102" width="12.140625" style="247" customWidth="1"/>
    <col min="14103" max="14103" width="12.28515625" style="247" customWidth="1"/>
    <col min="14104" max="14104" width="12.140625" style="247" customWidth="1"/>
    <col min="14105" max="14105" width="12.28515625" style="247" customWidth="1"/>
    <col min="14106" max="14106" width="12.140625" style="247" customWidth="1"/>
    <col min="14107" max="14123" width="11.42578125" style="247" customWidth="1"/>
    <col min="14136" max="14136" width="12.28515625" style="247" customWidth="1"/>
    <col min="14345" max="14345" width="17.28515625" style="247" customWidth="1"/>
    <col min="14346" max="14346" width="30.5703125" style="247" customWidth="1"/>
    <col min="14347" max="14347" width="13.28515625" style="247" customWidth="1"/>
    <col min="14348" max="14348" width="14.7109375" style="247" customWidth="1"/>
    <col min="14349" max="14349" width="10.5703125" style="247" customWidth="1"/>
    <col min="14351" max="14351" width="11.5703125" style="247" customWidth="1"/>
    <col min="14353" max="14353" width="12.28515625" style="247" customWidth="1"/>
    <col min="14354" max="14354" width="12.140625" style="247" customWidth="1"/>
    <col min="14355" max="14355" width="12.28515625" style="247" customWidth="1"/>
    <col min="14356" max="14356" width="12.140625" style="247" customWidth="1"/>
    <col min="14357" max="14357" width="12.28515625" style="247" customWidth="1"/>
    <col min="14358" max="14358" width="12.140625" style="247" customWidth="1"/>
    <col min="14359" max="14359" width="12.28515625" style="247" customWidth="1"/>
    <col min="14360" max="14360" width="12.140625" style="247" customWidth="1"/>
    <col min="14361" max="14361" width="12.28515625" style="247" customWidth="1"/>
    <col min="14362" max="14362" width="12.140625" style="247" customWidth="1"/>
    <col min="14363" max="14379" width="11.42578125" style="247" customWidth="1"/>
    <col min="14392" max="14392" width="12.28515625" style="247" customWidth="1"/>
    <col min="14601" max="14601" width="17.28515625" style="247" customWidth="1"/>
    <col min="14602" max="14602" width="30.5703125" style="247" customWidth="1"/>
    <col min="14603" max="14603" width="13.28515625" style="247" customWidth="1"/>
    <col min="14604" max="14604" width="14.7109375" style="247" customWidth="1"/>
    <col min="14605" max="14605" width="10.5703125" style="247" customWidth="1"/>
    <col min="14607" max="14607" width="11.5703125" style="247" customWidth="1"/>
    <col min="14609" max="14609" width="12.28515625" style="247" customWidth="1"/>
    <col min="14610" max="14610" width="12.140625" style="247" customWidth="1"/>
    <col min="14611" max="14611" width="12.28515625" style="247" customWidth="1"/>
    <col min="14612" max="14612" width="12.140625" style="247" customWidth="1"/>
    <col min="14613" max="14613" width="12.28515625" style="247" customWidth="1"/>
    <col min="14614" max="14614" width="12.140625" style="247" customWidth="1"/>
    <col min="14615" max="14615" width="12.28515625" style="247" customWidth="1"/>
    <col min="14616" max="14616" width="12.140625" style="247" customWidth="1"/>
    <col min="14617" max="14617" width="12.28515625" style="247" customWidth="1"/>
    <col min="14618" max="14618" width="12.140625" style="247" customWidth="1"/>
    <col min="14619" max="14635" width="11.42578125" style="247" customWidth="1"/>
    <col min="14648" max="14648" width="12.28515625" style="247" customWidth="1"/>
    <col min="14857" max="14857" width="17.28515625" style="247" customWidth="1"/>
    <col min="14858" max="14858" width="30.5703125" style="247" customWidth="1"/>
    <col min="14859" max="14859" width="13.28515625" style="247" customWidth="1"/>
    <col min="14860" max="14860" width="14.7109375" style="247" customWidth="1"/>
    <col min="14861" max="14861" width="10.5703125" style="247" customWidth="1"/>
    <col min="14863" max="14863" width="11.5703125" style="247" customWidth="1"/>
    <col min="14865" max="14865" width="12.28515625" style="247" customWidth="1"/>
    <col min="14866" max="14866" width="12.140625" style="247" customWidth="1"/>
    <col min="14867" max="14867" width="12.28515625" style="247" customWidth="1"/>
    <col min="14868" max="14868" width="12.140625" style="247" customWidth="1"/>
    <col min="14869" max="14869" width="12.28515625" style="247" customWidth="1"/>
    <col min="14870" max="14870" width="12.140625" style="247" customWidth="1"/>
    <col min="14871" max="14871" width="12.28515625" style="247" customWidth="1"/>
    <col min="14872" max="14872" width="12.140625" style="247" customWidth="1"/>
    <col min="14873" max="14873" width="12.28515625" style="247" customWidth="1"/>
    <col min="14874" max="14874" width="12.140625" style="247" customWidth="1"/>
    <col min="14875" max="14891" width="11.42578125" style="247" customWidth="1"/>
    <col min="14904" max="14904" width="12.28515625" style="247" customWidth="1"/>
    <col min="15113" max="15113" width="17.28515625" style="247" customWidth="1"/>
    <col min="15114" max="15114" width="30.5703125" style="247" customWidth="1"/>
    <col min="15115" max="15115" width="13.28515625" style="247" customWidth="1"/>
    <col min="15116" max="15116" width="14.7109375" style="247" customWidth="1"/>
    <col min="15117" max="15117" width="10.5703125" style="247" customWidth="1"/>
    <col min="15119" max="15119" width="11.5703125" style="247" customWidth="1"/>
    <col min="15121" max="15121" width="12.28515625" style="247" customWidth="1"/>
    <col min="15122" max="15122" width="12.140625" style="247" customWidth="1"/>
    <col min="15123" max="15123" width="12.28515625" style="247" customWidth="1"/>
    <col min="15124" max="15124" width="12.140625" style="247" customWidth="1"/>
    <col min="15125" max="15125" width="12.28515625" style="247" customWidth="1"/>
    <col min="15126" max="15126" width="12.140625" style="247" customWidth="1"/>
    <col min="15127" max="15127" width="12.28515625" style="247" customWidth="1"/>
    <col min="15128" max="15128" width="12.140625" style="247" customWidth="1"/>
    <col min="15129" max="15129" width="12.28515625" style="247" customWidth="1"/>
    <col min="15130" max="15130" width="12.140625" style="247" customWidth="1"/>
    <col min="15131" max="15147" width="11.42578125" style="247" customWidth="1"/>
    <col min="15160" max="15160" width="12.28515625" style="247" customWidth="1"/>
    <col min="15369" max="15369" width="17.28515625" style="247" customWidth="1"/>
    <col min="15370" max="15370" width="30.5703125" style="247" customWidth="1"/>
    <col min="15371" max="15371" width="13.28515625" style="247" customWidth="1"/>
    <col min="15372" max="15372" width="14.7109375" style="247" customWidth="1"/>
    <col min="15373" max="15373" width="10.5703125" style="247" customWidth="1"/>
    <col min="15375" max="15375" width="11.5703125" style="247" customWidth="1"/>
    <col min="15377" max="15377" width="12.28515625" style="247" customWidth="1"/>
    <col min="15378" max="15378" width="12.140625" style="247" customWidth="1"/>
    <col min="15379" max="15379" width="12.28515625" style="247" customWidth="1"/>
    <col min="15380" max="15380" width="12.140625" style="247" customWidth="1"/>
    <col min="15381" max="15381" width="12.28515625" style="247" customWidth="1"/>
    <col min="15382" max="15382" width="12.140625" style="247" customWidth="1"/>
    <col min="15383" max="15383" width="12.28515625" style="247" customWidth="1"/>
    <col min="15384" max="15384" width="12.140625" style="247" customWidth="1"/>
    <col min="15385" max="15385" width="12.28515625" style="247" customWidth="1"/>
    <col min="15386" max="15386" width="12.140625" style="247" customWidth="1"/>
    <col min="15387" max="15403" width="11.42578125" style="247" customWidth="1"/>
    <col min="15416" max="15416" width="12.28515625" style="247" customWidth="1"/>
    <col min="15625" max="15625" width="17.28515625" style="247" customWidth="1"/>
    <col min="15626" max="15626" width="30.5703125" style="247" customWidth="1"/>
    <col min="15627" max="15627" width="13.28515625" style="247" customWidth="1"/>
    <col min="15628" max="15628" width="14.7109375" style="247" customWidth="1"/>
    <col min="15629" max="15629" width="10.5703125" style="247" customWidth="1"/>
    <col min="15631" max="15631" width="11.5703125" style="247" customWidth="1"/>
    <col min="15633" max="15633" width="12.28515625" style="247" customWidth="1"/>
    <col min="15634" max="15634" width="12.140625" style="247" customWidth="1"/>
    <col min="15635" max="15635" width="12.28515625" style="247" customWidth="1"/>
    <col min="15636" max="15636" width="12.140625" style="247" customWidth="1"/>
    <col min="15637" max="15637" width="12.28515625" style="247" customWidth="1"/>
    <col min="15638" max="15638" width="12.140625" style="247" customWidth="1"/>
    <col min="15639" max="15639" width="12.28515625" style="247" customWidth="1"/>
    <col min="15640" max="15640" width="12.140625" style="247" customWidth="1"/>
    <col min="15641" max="15641" width="12.28515625" style="247" customWidth="1"/>
    <col min="15642" max="15642" width="12.140625" style="247" customWidth="1"/>
    <col min="15643" max="15659" width="11.42578125" style="247" customWidth="1"/>
    <col min="15672" max="15672" width="12.28515625" style="247" customWidth="1"/>
    <col min="15881" max="15881" width="17.28515625" style="247" customWidth="1"/>
    <col min="15882" max="15882" width="30.5703125" style="247" customWidth="1"/>
    <col min="15883" max="15883" width="13.28515625" style="247" customWidth="1"/>
    <col min="15884" max="15884" width="14.7109375" style="247" customWidth="1"/>
    <col min="15885" max="15885" width="10.5703125" style="247" customWidth="1"/>
    <col min="15887" max="15887" width="11.5703125" style="247" customWidth="1"/>
    <col min="15889" max="15889" width="12.28515625" style="247" customWidth="1"/>
    <col min="15890" max="15890" width="12.140625" style="247" customWidth="1"/>
    <col min="15891" max="15891" width="12.28515625" style="247" customWidth="1"/>
    <col min="15892" max="15892" width="12.140625" style="247" customWidth="1"/>
    <col min="15893" max="15893" width="12.28515625" style="247" customWidth="1"/>
    <col min="15894" max="15894" width="12.140625" style="247" customWidth="1"/>
    <col min="15895" max="15895" width="12.28515625" style="247" customWidth="1"/>
    <col min="15896" max="15896" width="12.140625" style="247" customWidth="1"/>
    <col min="15897" max="15897" width="12.28515625" style="247" customWidth="1"/>
    <col min="15898" max="15898" width="12.140625" style="247" customWidth="1"/>
    <col min="15899" max="15915" width="11.42578125" style="247" customWidth="1"/>
    <col min="15928" max="15928" width="12.28515625" style="247" customWidth="1"/>
    <col min="16137" max="16137" width="17.28515625" style="247" customWidth="1"/>
    <col min="16138" max="16138" width="30.5703125" style="247" customWidth="1"/>
    <col min="16139" max="16139" width="13.28515625" style="247" customWidth="1"/>
    <col min="16140" max="16140" width="14.7109375" style="247" customWidth="1"/>
    <col min="16141" max="16141" width="10.5703125" style="247" customWidth="1"/>
    <col min="16143" max="16143" width="11.5703125" style="247" customWidth="1"/>
    <col min="16145" max="16145" width="12.28515625" style="247" customWidth="1"/>
    <col min="16146" max="16146" width="12.140625" style="247" customWidth="1"/>
    <col min="16147" max="16147" width="12.28515625" style="247" customWidth="1"/>
    <col min="16148" max="16148" width="12.140625" style="247" customWidth="1"/>
    <col min="16149" max="16149" width="12.28515625" style="247" customWidth="1"/>
    <col min="16150" max="16150" width="12.140625" style="247" customWidth="1"/>
    <col min="16151" max="16151" width="12.28515625" style="247" customWidth="1"/>
    <col min="16152" max="16152" width="12.140625" style="247" customWidth="1"/>
    <col min="16153" max="16153" width="12.28515625" style="247" customWidth="1"/>
    <col min="16154" max="16154" width="12.140625" style="247" customWidth="1"/>
    <col min="16155" max="16171" width="11.42578125" style="247" customWidth="1"/>
    <col min="16184" max="16184" width="12.28515625" style="247" customWidth="1"/>
  </cols>
  <sheetData>
    <row r="1" spans="1:58" ht="15.75" customHeight="1">
      <c r="A1" s="70" t="s">
        <v>190</v>
      </c>
      <c r="B1" t="str">
        <f>RESULTADOS!B2</f>
        <v>Proyecto de Vivienda de Interes Social URIN CHILLO LOTE "A"</v>
      </c>
    </row>
    <row r="2" spans="1:58" ht="14.25" customHeight="1">
      <c r="A2" s="495" t="s">
        <v>6</v>
      </c>
      <c r="B2" s="496"/>
    </row>
    <row r="3" spans="1:58" s="72" customFormat="1" ht="18.75" customHeight="1">
      <c r="A3" s="495" t="e">
        <f>+#REF!</f>
        <v>#REF!</v>
      </c>
      <c r="B3" s="502"/>
      <c r="C3" s="71"/>
      <c r="G3" s="73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</row>
    <row r="4" spans="1:58" s="72" customFormat="1" ht="18.75" customHeight="1">
      <c r="A4" s="495" t="s">
        <v>187</v>
      </c>
      <c r="B4" s="502"/>
      <c r="N4" s="75"/>
      <c r="O4" s="75"/>
      <c r="P4" s="75"/>
      <c r="Q4" s="75"/>
      <c r="R4" s="75"/>
      <c r="S4" s="75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</row>
    <row r="5" spans="1:58" s="72" customFormat="1" ht="18.75" customHeight="1">
      <c r="C5" s="71"/>
      <c r="F5" s="76" t="s">
        <v>191</v>
      </c>
      <c r="G5" s="76" t="s">
        <v>192</v>
      </c>
      <c r="H5" s="76" t="s">
        <v>193</v>
      </c>
      <c r="I5" s="76" t="s">
        <v>194</v>
      </c>
      <c r="J5" s="76" t="s">
        <v>195</v>
      </c>
      <c r="K5" s="76" t="s">
        <v>196</v>
      </c>
      <c r="L5" s="76" t="s">
        <v>197</v>
      </c>
      <c r="M5" s="76" t="s">
        <v>198</v>
      </c>
      <c r="N5" s="76" t="s">
        <v>199</v>
      </c>
      <c r="O5" s="76" t="s">
        <v>200</v>
      </c>
      <c r="P5" s="76" t="s">
        <v>201</v>
      </c>
      <c r="Q5" s="76" t="s">
        <v>202</v>
      </c>
      <c r="R5" s="76" t="s">
        <v>203</v>
      </c>
      <c r="S5" s="76" t="s">
        <v>204</v>
      </c>
      <c r="T5" s="76" t="s">
        <v>205</v>
      </c>
      <c r="U5" s="76" t="s">
        <v>206</v>
      </c>
      <c r="V5" s="76" t="s">
        <v>207</v>
      </c>
      <c r="W5" s="76" t="s">
        <v>208</v>
      </c>
      <c r="X5" s="76" t="s">
        <v>209</v>
      </c>
      <c r="Y5" s="76" t="s">
        <v>210</v>
      </c>
      <c r="Z5" s="76" t="s">
        <v>211</v>
      </c>
      <c r="AA5" s="76" t="s">
        <v>212</v>
      </c>
      <c r="AB5" s="76" t="s">
        <v>213</v>
      </c>
      <c r="AC5" s="76" t="s">
        <v>214</v>
      </c>
      <c r="AD5" s="76" t="s">
        <v>215</v>
      </c>
      <c r="AE5" s="76" t="s">
        <v>216</v>
      </c>
      <c r="AF5" s="76" t="s">
        <v>217</v>
      </c>
      <c r="AG5" s="76" t="s">
        <v>218</v>
      </c>
      <c r="AH5" s="76" t="s">
        <v>219</v>
      </c>
      <c r="AI5" s="76" t="s">
        <v>220</v>
      </c>
      <c r="AJ5" s="76" t="s">
        <v>221</v>
      </c>
      <c r="AK5" s="76" t="s">
        <v>222</v>
      </c>
      <c r="AL5" s="76" t="s">
        <v>223</v>
      </c>
      <c r="AM5" s="76" t="s">
        <v>224</v>
      </c>
      <c r="AN5" s="76" t="s">
        <v>225</v>
      </c>
      <c r="AO5" s="76" t="s">
        <v>226</v>
      </c>
      <c r="AP5" s="76" t="s">
        <v>227</v>
      </c>
      <c r="AQ5" s="76" t="s">
        <v>228</v>
      </c>
      <c r="AR5" s="76" t="s">
        <v>229</v>
      </c>
      <c r="AS5" s="76" t="s">
        <v>230</v>
      </c>
      <c r="AT5" s="76" t="s">
        <v>231</v>
      </c>
      <c r="AU5" s="76" t="s">
        <v>232</v>
      </c>
      <c r="AV5" s="76" t="s">
        <v>233</v>
      </c>
      <c r="AW5" s="76" t="s">
        <v>234</v>
      </c>
      <c r="AX5" s="76" t="s">
        <v>235</v>
      </c>
      <c r="AY5" s="76" t="s">
        <v>236</v>
      </c>
      <c r="AZ5" s="76" t="s">
        <v>237</v>
      </c>
      <c r="BA5" s="76" t="s">
        <v>238</v>
      </c>
      <c r="BB5" s="76"/>
    </row>
    <row r="6" spans="1:58" s="72" customFormat="1" ht="12.75" customHeight="1"/>
    <row r="7" spans="1:58" s="85" customFormat="1" ht="27" customHeight="1">
      <c r="A7" s="514" t="s">
        <v>239</v>
      </c>
      <c r="B7" s="487"/>
      <c r="C7" s="244" t="s">
        <v>240</v>
      </c>
      <c r="D7" s="244" t="s">
        <v>241</v>
      </c>
      <c r="E7" s="77" t="s">
        <v>242</v>
      </c>
      <c r="F7" s="78">
        <v>46357</v>
      </c>
      <c r="G7" s="78">
        <f t="shared" ref="G7:BA7" si="0">+F7+31</f>
        <v>46388</v>
      </c>
      <c r="H7" s="79">
        <f t="shared" si="0"/>
        <v>46419</v>
      </c>
      <c r="I7" s="79">
        <f t="shared" si="0"/>
        <v>46450</v>
      </c>
      <c r="J7" s="80">
        <f t="shared" si="0"/>
        <v>46481</v>
      </c>
      <c r="K7" s="80">
        <f t="shared" si="0"/>
        <v>46512</v>
      </c>
      <c r="L7" s="80">
        <f t="shared" si="0"/>
        <v>46543</v>
      </c>
      <c r="M7" s="81">
        <f t="shared" si="0"/>
        <v>46574</v>
      </c>
      <c r="N7" s="81">
        <f t="shared" si="0"/>
        <v>46605</v>
      </c>
      <c r="O7" s="82">
        <f t="shared" si="0"/>
        <v>46636</v>
      </c>
      <c r="P7" s="82">
        <f t="shared" si="0"/>
        <v>46667</v>
      </c>
      <c r="Q7" s="83">
        <f t="shared" si="0"/>
        <v>46698</v>
      </c>
      <c r="R7" s="83">
        <f t="shared" si="0"/>
        <v>46729</v>
      </c>
      <c r="S7" s="83">
        <f t="shared" si="0"/>
        <v>46760</v>
      </c>
      <c r="T7" s="83">
        <f t="shared" si="0"/>
        <v>46791</v>
      </c>
      <c r="U7" s="83">
        <f t="shared" si="0"/>
        <v>46822</v>
      </c>
      <c r="V7" s="83">
        <f t="shared" si="0"/>
        <v>46853</v>
      </c>
      <c r="W7" s="83">
        <f t="shared" si="0"/>
        <v>46884</v>
      </c>
      <c r="X7" s="83">
        <f t="shared" si="0"/>
        <v>46915</v>
      </c>
      <c r="Y7" s="83">
        <f t="shared" si="0"/>
        <v>46946</v>
      </c>
      <c r="Z7" s="83">
        <f t="shared" si="0"/>
        <v>46977</v>
      </c>
      <c r="AA7" s="83">
        <f t="shared" si="0"/>
        <v>47008</v>
      </c>
      <c r="AB7" s="83">
        <f t="shared" si="0"/>
        <v>47039</v>
      </c>
      <c r="AC7" s="84">
        <f t="shared" si="0"/>
        <v>47070</v>
      </c>
      <c r="AD7" s="83">
        <f t="shared" si="0"/>
        <v>47101</v>
      </c>
      <c r="AE7" s="83">
        <f t="shared" si="0"/>
        <v>47132</v>
      </c>
      <c r="AF7" s="83">
        <f t="shared" si="0"/>
        <v>47163</v>
      </c>
      <c r="AG7" s="83">
        <f t="shared" si="0"/>
        <v>47194</v>
      </c>
      <c r="AH7" s="83">
        <f t="shared" si="0"/>
        <v>47225</v>
      </c>
      <c r="AI7" s="83">
        <f t="shared" si="0"/>
        <v>47256</v>
      </c>
      <c r="AJ7" s="83">
        <f t="shared" si="0"/>
        <v>47287</v>
      </c>
      <c r="AK7" s="84">
        <f t="shared" si="0"/>
        <v>47318</v>
      </c>
      <c r="AL7" s="83">
        <f t="shared" si="0"/>
        <v>47349</v>
      </c>
      <c r="AM7" s="83">
        <f t="shared" si="0"/>
        <v>47380</v>
      </c>
      <c r="AN7" s="83">
        <f t="shared" si="0"/>
        <v>47411</v>
      </c>
      <c r="AO7" s="83">
        <f t="shared" si="0"/>
        <v>47442</v>
      </c>
      <c r="AP7" s="83">
        <f t="shared" si="0"/>
        <v>47473</v>
      </c>
      <c r="AQ7" s="83">
        <f t="shared" si="0"/>
        <v>47504</v>
      </c>
      <c r="AR7" s="83">
        <f t="shared" si="0"/>
        <v>47535</v>
      </c>
      <c r="AS7" s="84">
        <f t="shared" si="0"/>
        <v>47566</v>
      </c>
      <c r="AT7" s="83">
        <f t="shared" si="0"/>
        <v>47597</v>
      </c>
      <c r="AU7" s="83">
        <f t="shared" si="0"/>
        <v>47628</v>
      </c>
      <c r="AV7" s="83">
        <f t="shared" si="0"/>
        <v>47659</v>
      </c>
      <c r="AW7" s="83">
        <f t="shared" si="0"/>
        <v>47690</v>
      </c>
      <c r="AX7" s="83">
        <f t="shared" si="0"/>
        <v>47721</v>
      </c>
      <c r="AY7" s="83">
        <f t="shared" si="0"/>
        <v>47752</v>
      </c>
      <c r="AZ7" s="83">
        <f t="shared" si="0"/>
        <v>47783</v>
      </c>
      <c r="BA7" s="83">
        <f t="shared" si="0"/>
        <v>47814</v>
      </c>
      <c r="BB7" s="244" t="s">
        <v>55</v>
      </c>
      <c r="BC7" s="244" t="s">
        <v>243</v>
      </c>
    </row>
    <row r="8" spans="1:58" s="72" customFormat="1" ht="13.5" customHeight="1">
      <c r="A8" s="501" t="s">
        <v>245</v>
      </c>
      <c r="B8" s="487"/>
      <c r="C8" s="86"/>
      <c r="D8" s="86"/>
      <c r="E8" s="86"/>
      <c r="F8" s="86"/>
      <c r="G8" s="86"/>
      <c r="H8" s="86"/>
      <c r="I8" s="86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316">
        <f>SUM(E8:AS8)</f>
        <v>0</v>
      </c>
      <c r="BC8" s="316">
        <f t="shared" ref="BC8:BC14" si="1">C8</f>
        <v>0</v>
      </c>
      <c r="BD8" s="317"/>
    </row>
    <row r="9" spans="1:58" s="72" customFormat="1" ht="13.5" customHeight="1">
      <c r="A9" s="498">
        <v>1</v>
      </c>
      <c r="B9" s="511" t="str">
        <f>'PRESUPUESTO GENERAL'!B11</f>
        <v>Construcción de viviendas tipología A (16 U.V)</v>
      </c>
      <c r="C9" s="316">
        <f>'PRESUPUESTO GENERAL'!H11</f>
        <v>383476.36</v>
      </c>
      <c r="D9" s="87">
        <f>C9/$C$40</f>
        <v>0.11847033475184689</v>
      </c>
      <c r="E9" s="318">
        <v>0</v>
      </c>
      <c r="F9" s="316">
        <v>28460.887899500001</v>
      </c>
      <c r="G9" s="316">
        <v>28460.887899500001</v>
      </c>
      <c r="H9" s="316">
        <v>31987.315399499999</v>
      </c>
      <c r="I9" s="316">
        <v>31987.315399499999</v>
      </c>
      <c r="J9" s="316">
        <v>21812.5292393333</v>
      </c>
      <c r="K9" s="316">
        <v>21812.5292393333</v>
      </c>
      <c r="L9" s="316">
        <v>21812.5292393333</v>
      </c>
      <c r="M9" s="316">
        <v>9516.9821580000007</v>
      </c>
      <c r="N9" s="316">
        <v>9516.9821580000007</v>
      </c>
      <c r="O9" s="316">
        <v>11798.420684000001</v>
      </c>
      <c r="P9" s="316">
        <v>11798.420684000001</v>
      </c>
      <c r="Q9" s="316">
        <v>10810.29</v>
      </c>
      <c r="R9" s="316">
        <v>30757.067917</v>
      </c>
      <c r="S9" s="316">
        <v>41136.815914999999</v>
      </c>
      <c r="T9" s="316">
        <v>25003.069663999999</v>
      </c>
      <c r="U9" s="316">
        <v>23044.671266000001</v>
      </c>
      <c r="V9" s="316">
        <v>10328.842762</v>
      </c>
      <c r="W9" s="316">
        <v>13430.802476000001</v>
      </c>
      <c r="X9" s="316">
        <v>0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0</v>
      </c>
      <c r="AF9" s="316">
        <v>0</v>
      </c>
      <c r="AG9" s="316">
        <v>0</v>
      </c>
      <c r="AH9" s="316">
        <v>0</v>
      </c>
      <c r="AI9" s="316">
        <v>0</v>
      </c>
      <c r="AJ9" s="316">
        <v>0</v>
      </c>
      <c r="AK9" s="316">
        <v>0</v>
      </c>
      <c r="AL9" s="316">
        <v>0</v>
      </c>
      <c r="AM9" s="316">
        <v>0</v>
      </c>
      <c r="AN9" s="316">
        <v>0</v>
      </c>
      <c r="AO9" s="316">
        <v>0</v>
      </c>
      <c r="AP9" s="316">
        <v>0</v>
      </c>
      <c r="AQ9" s="316">
        <v>0</v>
      </c>
      <c r="AR9" s="316">
        <v>0</v>
      </c>
      <c r="AS9" s="316">
        <v>0</v>
      </c>
      <c r="AT9" s="316">
        <v>0</v>
      </c>
      <c r="AU9" s="316">
        <v>0</v>
      </c>
      <c r="AV9" s="316">
        <v>0</v>
      </c>
      <c r="AW9" s="316">
        <v>0</v>
      </c>
      <c r="AX9" s="316">
        <v>0</v>
      </c>
      <c r="AY9" s="316">
        <v>0</v>
      </c>
      <c r="AZ9" s="316">
        <v>0</v>
      </c>
      <c r="BA9" s="316">
        <v>0</v>
      </c>
      <c r="BB9" s="318">
        <f t="shared" ref="BB9:BB14" si="2">SUM(E9:BA9)</f>
        <v>383476.35999999987</v>
      </c>
      <c r="BC9" s="316">
        <f t="shared" si="1"/>
        <v>383476.36</v>
      </c>
      <c r="BD9" s="317"/>
      <c r="BF9" s="317"/>
    </row>
    <row r="10" spans="1:58" s="89" customFormat="1" ht="12" customHeight="1">
      <c r="A10" s="499"/>
      <c r="B10" s="499"/>
      <c r="C10" s="319"/>
      <c r="D10" s="88"/>
      <c r="E10" s="318">
        <v>0</v>
      </c>
      <c r="F10" s="319">
        <v>0</v>
      </c>
      <c r="G10" s="316">
        <v>0</v>
      </c>
      <c r="H10" s="319">
        <v>0</v>
      </c>
      <c r="I10" s="316">
        <v>0</v>
      </c>
      <c r="J10" s="319">
        <v>0</v>
      </c>
      <c r="K10" s="320">
        <v>0</v>
      </c>
      <c r="L10" s="316">
        <v>0</v>
      </c>
      <c r="M10" s="320">
        <v>0</v>
      </c>
      <c r="N10" s="316">
        <v>0</v>
      </c>
      <c r="O10" s="319">
        <v>0</v>
      </c>
      <c r="P10" s="316">
        <v>0</v>
      </c>
      <c r="Q10" s="319"/>
      <c r="R10" s="319"/>
      <c r="S10" s="319"/>
      <c r="T10" s="320"/>
      <c r="U10" s="319"/>
      <c r="V10" s="319"/>
      <c r="W10" s="319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  <c r="AL10" s="315"/>
      <c r="AM10" s="315"/>
      <c r="AN10" s="315"/>
      <c r="AO10" s="315"/>
      <c r="AP10" s="315"/>
      <c r="AQ10" s="315"/>
      <c r="AR10" s="315"/>
      <c r="AS10" s="315"/>
      <c r="AT10" s="315"/>
      <c r="AU10" s="315"/>
      <c r="AV10" s="315"/>
      <c r="AW10" s="315"/>
      <c r="AX10" s="315"/>
      <c r="AY10" s="315"/>
      <c r="AZ10" s="315"/>
      <c r="BA10" s="315"/>
      <c r="BB10" s="318">
        <f t="shared" si="2"/>
        <v>0</v>
      </c>
      <c r="BC10" s="316">
        <f t="shared" si="1"/>
        <v>0</v>
      </c>
      <c r="BD10" s="317"/>
      <c r="BF10" s="321"/>
    </row>
    <row r="11" spans="1:58" s="72" customFormat="1" ht="12" customHeight="1">
      <c r="A11" s="498">
        <v>2</v>
      </c>
      <c r="B11" s="511" t="str">
        <f>'PRESUPUESTO GENERAL'!B12</f>
        <v>Construcción de viviendas tipología B (36 U.V)</v>
      </c>
      <c r="C11" s="316">
        <f>'PRESUPUESTO GENERAL'!H12</f>
        <v>1206935.72</v>
      </c>
      <c r="D11" s="87">
        <f>C11/$C$40</f>
        <v>0.37286804008560354</v>
      </c>
      <c r="E11" s="318">
        <v>0</v>
      </c>
      <c r="F11" s="316">
        <v>77747.125130999993</v>
      </c>
      <c r="G11" s="316">
        <v>77747.125130999993</v>
      </c>
      <c r="H11" s="315">
        <v>100302.740131</v>
      </c>
      <c r="I11" s="316">
        <v>100302.740131</v>
      </c>
      <c r="J11" s="315">
        <v>74879.082766333406</v>
      </c>
      <c r="K11" s="315">
        <v>74879.082766333406</v>
      </c>
      <c r="L11" s="316">
        <v>74879.082766333406</v>
      </c>
      <c r="M11" s="315">
        <v>27348.414411500002</v>
      </c>
      <c r="N11" s="316">
        <v>27348.414411500002</v>
      </c>
      <c r="O11" s="315">
        <v>38343.746177000001</v>
      </c>
      <c r="P11" s="316">
        <v>38343.746177000001</v>
      </c>
      <c r="Q11" s="315">
        <v>34855.61</v>
      </c>
      <c r="R11" s="315">
        <v>105871.10449</v>
      </c>
      <c r="S11" s="315">
        <v>127418.760433</v>
      </c>
      <c r="T11" s="315">
        <v>83429.546963000001</v>
      </c>
      <c r="U11" s="315">
        <v>53511.793114</v>
      </c>
      <c r="V11" s="315">
        <v>45632.58</v>
      </c>
      <c r="W11" s="315">
        <v>44095.025000000001</v>
      </c>
      <c r="X11" s="315">
        <v>0</v>
      </c>
      <c r="Y11" s="315">
        <v>0</v>
      </c>
      <c r="Z11" s="315">
        <v>0</v>
      </c>
      <c r="AA11" s="315">
        <v>0</v>
      </c>
      <c r="AB11" s="315">
        <v>0</v>
      </c>
      <c r="AC11" s="315">
        <v>0</v>
      </c>
      <c r="AD11" s="315">
        <v>0</v>
      </c>
      <c r="AE11" s="315">
        <v>0</v>
      </c>
      <c r="AF11" s="315">
        <v>0</v>
      </c>
      <c r="AG11" s="315">
        <v>0</v>
      </c>
      <c r="AH11" s="315">
        <v>0</v>
      </c>
      <c r="AI11" s="315">
        <v>0</v>
      </c>
      <c r="AJ11" s="315">
        <v>0</v>
      </c>
      <c r="AK11" s="315">
        <v>0</v>
      </c>
      <c r="AL11" s="315">
        <v>0</v>
      </c>
      <c r="AM11" s="315">
        <v>0</v>
      </c>
      <c r="AN11" s="315">
        <v>0</v>
      </c>
      <c r="AO11" s="315">
        <v>0</v>
      </c>
      <c r="AP11" s="315">
        <v>0</v>
      </c>
      <c r="AQ11" s="315">
        <v>0</v>
      </c>
      <c r="AR11" s="315">
        <v>0</v>
      </c>
      <c r="AS11" s="315">
        <v>0</v>
      </c>
      <c r="AT11" s="315">
        <v>0</v>
      </c>
      <c r="AU11" s="315">
        <v>0</v>
      </c>
      <c r="AV11" s="315">
        <v>0</v>
      </c>
      <c r="AW11" s="315">
        <v>0</v>
      </c>
      <c r="AX11" s="315">
        <v>0</v>
      </c>
      <c r="AY11" s="315">
        <v>0</v>
      </c>
      <c r="AZ11" s="315">
        <v>0</v>
      </c>
      <c r="BA11" s="315">
        <v>0</v>
      </c>
      <c r="BB11" s="318">
        <f t="shared" si="2"/>
        <v>1206935.7200000002</v>
      </c>
      <c r="BC11" s="316">
        <f t="shared" si="1"/>
        <v>1206935.72</v>
      </c>
      <c r="BD11" s="317"/>
      <c r="BF11" s="317"/>
    </row>
    <row r="12" spans="1:58" s="89" customFormat="1" ht="12" customHeight="1">
      <c r="A12" s="499"/>
      <c r="B12" s="499"/>
      <c r="C12" s="319"/>
      <c r="D12" s="88"/>
      <c r="E12" s="318">
        <v>0</v>
      </c>
      <c r="F12" s="319">
        <v>0</v>
      </c>
      <c r="G12" s="316">
        <v>0</v>
      </c>
      <c r="H12" s="319">
        <v>0</v>
      </c>
      <c r="I12" s="316">
        <v>0</v>
      </c>
      <c r="J12" s="319">
        <v>0</v>
      </c>
      <c r="K12" s="320">
        <v>0</v>
      </c>
      <c r="L12" s="316">
        <v>0</v>
      </c>
      <c r="M12" s="320">
        <v>0</v>
      </c>
      <c r="N12" s="316">
        <v>0</v>
      </c>
      <c r="O12" s="319">
        <v>0</v>
      </c>
      <c r="P12" s="316">
        <v>0</v>
      </c>
      <c r="Q12" s="319"/>
      <c r="R12" s="319"/>
      <c r="S12" s="319"/>
      <c r="T12" s="320"/>
      <c r="U12" s="319"/>
      <c r="V12" s="319"/>
      <c r="W12" s="319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  <c r="AX12" s="319"/>
      <c r="AY12" s="319"/>
      <c r="AZ12" s="319"/>
      <c r="BA12" s="319"/>
      <c r="BB12" s="318">
        <f t="shared" si="2"/>
        <v>0</v>
      </c>
      <c r="BC12" s="316">
        <f t="shared" si="1"/>
        <v>0</v>
      </c>
      <c r="BD12" s="317"/>
      <c r="BF12" s="321"/>
    </row>
    <row r="13" spans="1:58" s="72" customFormat="1" ht="13.5" customHeight="1">
      <c r="A13" s="498">
        <v>3</v>
      </c>
      <c r="B13" s="511" t="str">
        <f>'PRESUPUESTO GENERAL'!B13</f>
        <v>Construcción de viviendas tipología C (48 U.V)</v>
      </c>
      <c r="C13" s="316">
        <f>'PRESUPUESTO GENERAL'!H13</f>
        <v>972789.99</v>
      </c>
      <c r="D13" s="87">
        <f>C13/$C$40</f>
        <v>0.30053157842258071</v>
      </c>
      <c r="E13" s="318">
        <v>0</v>
      </c>
      <c r="F13" s="316">
        <v>37336.898926000002</v>
      </c>
      <c r="G13" s="316">
        <v>37336.898926000002</v>
      </c>
      <c r="H13" s="316">
        <v>72625.585175999993</v>
      </c>
      <c r="I13" s="316">
        <v>72625.585175999993</v>
      </c>
      <c r="J13" s="316">
        <v>49242.327139666697</v>
      </c>
      <c r="K13" s="316">
        <v>49242.327139666697</v>
      </c>
      <c r="L13" s="316">
        <v>49242.327139666697</v>
      </c>
      <c r="M13" s="316">
        <v>19049.8185615</v>
      </c>
      <c r="N13" s="316">
        <v>19049.8185615</v>
      </c>
      <c r="O13" s="316">
        <v>30151.221626999999</v>
      </c>
      <c r="P13" s="316">
        <v>30151.221626999999</v>
      </c>
      <c r="Q13" s="316">
        <v>30364.82</v>
      </c>
      <c r="R13" s="316">
        <v>101956.048563</v>
      </c>
      <c r="S13" s="316">
        <v>116241.888293</v>
      </c>
      <c r="T13" s="316">
        <v>72295.962604</v>
      </c>
      <c r="U13" s="316">
        <v>85613.148585999996</v>
      </c>
      <c r="V13" s="316">
        <v>56038.476046000003</v>
      </c>
      <c r="W13" s="316">
        <v>44225.615908</v>
      </c>
      <c r="X13" s="316">
        <v>0</v>
      </c>
      <c r="Y13" s="316">
        <v>0</v>
      </c>
      <c r="Z13" s="316">
        <v>0</v>
      </c>
      <c r="AA13" s="316">
        <v>0</v>
      </c>
      <c r="AB13" s="316">
        <v>0</v>
      </c>
      <c r="AC13" s="316">
        <v>0</v>
      </c>
      <c r="AD13" s="316">
        <v>0</v>
      </c>
      <c r="AE13" s="316">
        <v>0</v>
      </c>
      <c r="AF13" s="316">
        <v>0</v>
      </c>
      <c r="AG13" s="316">
        <v>0</v>
      </c>
      <c r="AH13" s="316">
        <v>0</v>
      </c>
      <c r="AI13" s="316">
        <v>0</v>
      </c>
      <c r="AJ13" s="316">
        <v>0</v>
      </c>
      <c r="AK13" s="316">
        <v>0</v>
      </c>
      <c r="AL13" s="316">
        <v>0</v>
      </c>
      <c r="AM13" s="316">
        <v>0</v>
      </c>
      <c r="AN13" s="316">
        <v>0</v>
      </c>
      <c r="AO13" s="316">
        <v>0</v>
      </c>
      <c r="AP13" s="316">
        <v>0</v>
      </c>
      <c r="AQ13" s="316">
        <v>0</v>
      </c>
      <c r="AR13" s="316">
        <v>0</v>
      </c>
      <c r="AS13" s="316">
        <v>0</v>
      </c>
      <c r="AT13" s="316">
        <v>0</v>
      </c>
      <c r="AU13" s="316">
        <v>0</v>
      </c>
      <c r="AV13" s="316">
        <v>0</v>
      </c>
      <c r="AW13" s="316">
        <v>0</v>
      </c>
      <c r="AX13" s="316">
        <v>0</v>
      </c>
      <c r="AY13" s="316">
        <v>0</v>
      </c>
      <c r="AZ13" s="316">
        <v>0</v>
      </c>
      <c r="BA13" s="316">
        <v>0</v>
      </c>
      <c r="BB13" s="318">
        <f t="shared" si="2"/>
        <v>972789.99000000011</v>
      </c>
      <c r="BC13" s="318">
        <f t="shared" si="1"/>
        <v>972789.99</v>
      </c>
      <c r="BD13" s="317"/>
      <c r="BF13" s="317"/>
    </row>
    <row r="14" spans="1:58" s="89" customFormat="1" ht="10.5" customHeight="1">
      <c r="A14" s="499"/>
      <c r="B14" s="499"/>
      <c r="C14" s="319"/>
      <c r="D14" s="88"/>
      <c r="E14" s="88"/>
      <c r="F14" s="319"/>
      <c r="G14" s="319"/>
      <c r="H14" s="319"/>
      <c r="I14" s="319"/>
      <c r="J14" s="320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>
        <v>0</v>
      </c>
      <c r="AK14" s="319"/>
      <c r="AL14" s="319"/>
      <c r="AM14" s="319"/>
      <c r="AN14" s="319"/>
      <c r="AO14" s="319"/>
      <c r="AP14" s="319"/>
      <c r="AQ14" s="319"/>
      <c r="AR14" s="319"/>
      <c r="AS14" s="319">
        <v>0</v>
      </c>
      <c r="AT14" s="319"/>
      <c r="AU14" s="319"/>
      <c r="AV14" s="319"/>
      <c r="AW14" s="319"/>
      <c r="AX14" s="319"/>
      <c r="AY14" s="319"/>
      <c r="AZ14" s="319"/>
      <c r="BA14" s="319"/>
      <c r="BB14" s="318">
        <f t="shared" si="2"/>
        <v>0</v>
      </c>
      <c r="BC14" s="318">
        <f t="shared" si="1"/>
        <v>0</v>
      </c>
      <c r="BD14" s="317"/>
    </row>
    <row r="15" spans="1:58" s="89" customFormat="1" ht="12.75" hidden="1" customHeight="1">
      <c r="A15" s="498">
        <v>4</v>
      </c>
      <c r="B15" s="510"/>
      <c r="C15" s="319"/>
      <c r="D15" s="88"/>
      <c r="E15" s="88"/>
      <c r="F15" s="319"/>
      <c r="G15" s="319"/>
      <c r="H15" s="319"/>
      <c r="I15" s="319"/>
      <c r="J15" s="320"/>
      <c r="K15" s="319"/>
      <c r="L15" s="319"/>
      <c r="M15" s="319"/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19"/>
      <c r="AC15" s="319"/>
      <c r="AD15" s="319"/>
      <c r="AE15" s="319"/>
      <c r="AF15" s="319"/>
      <c r="AG15" s="319"/>
      <c r="AH15" s="319"/>
      <c r="AI15" s="319"/>
      <c r="AJ15" s="319"/>
      <c r="AK15" s="319"/>
      <c r="AL15" s="319"/>
      <c r="AM15" s="319"/>
      <c r="AN15" s="319"/>
      <c r="AO15" s="319"/>
      <c r="AP15" s="319"/>
      <c r="AQ15" s="319"/>
      <c r="AR15" s="319"/>
      <c r="AS15" s="319"/>
      <c r="AT15" s="319"/>
      <c r="AU15" s="319"/>
      <c r="AV15" s="319"/>
      <c r="AW15" s="319"/>
      <c r="AX15" s="319"/>
      <c r="AY15" s="319"/>
      <c r="AZ15" s="319"/>
      <c r="BA15" s="319"/>
      <c r="BB15" s="318"/>
      <c r="BC15" s="318"/>
      <c r="BD15" s="317"/>
    </row>
    <row r="16" spans="1:58" s="89" customFormat="1" ht="12.75" hidden="1" customHeight="1">
      <c r="A16" s="499"/>
      <c r="B16" s="499"/>
      <c r="C16" s="319"/>
      <c r="D16" s="88"/>
      <c r="E16" s="88"/>
      <c r="F16" s="319"/>
      <c r="G16" s="319"/>
      <c r="H16" s="319"/>
      <c r="I16" s="319"/>
      <c r="J16" s="320"/>
      <c r="K16" s="319"/>
      <c r="L16" s="319"/>
      <c r="M16" s="319"/>
      <c r="N16" s="319"/>
      <c r="O16" s="319"/>
      <c r="P16" s="319"/>
      <c r="Q16" s="319"/>
      <c r="R16" s="319"/>
      <c r="S16" s="319"/>
      <c r="T16" s="319"/>
      <c r="U16" s="319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19"/>
      <c r="AM16" s="319"/>
      <c r="AN16" s="319"/>
      <c r="AO16" s="319"/>
      <c r="AP16" s="319"/>
      <c r="AQ16" s="319"/>
      <c r="AR16" s="319"/>
      <c r="AS16" s="319"/>
      <c r="AT16" s="319"/>
      <c r="AU16" s="319"/>
      <c r="AV16" s="319"/>
      <c r="AW16" s="319"/>
      <c r="AX16" s="319"/>
      <c r="AY16" s="319"/>
      <c r="AZ16" s="319"/>
      <c r="BA16" s="319"/>
      <c r="BB16" s="318"/>
      <c r="BC16" s="318"/>
      <c r="BD16" s="317"/>
    </row>
    <row r="17" spans="1:56" s="72" customFormat="1" ht="10.5" customHeight="1">
      <c r="A17" s="498"/>
      <c r="B17" s="509"/>
      <c r="C17" s="316">
        <f>+[3]Presupuesto!G38</f>
        <v>0</v>
      </c>
      <c r="D17" s="87"/>
      <c r="E17" s="87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316"/>
      <c r="AH17" s="316"/>
      <c r="AI17" s="316"/>
      <c r="AJ17" s="316">
        <v>0</v>
      </c>
      <c r="AK17" s="316"/>
      <c r="AL17" s="316"/>
      <c r="AM17" s="316"/>
      <c r="AN17" s="316"/>
      <c r="AO17" s="316"/>
      <c r="AP17" s="316"/>
      <c r="AQ17" s="316"/>
      <c r="AR17" s="316"/>
      <c r="AS17" s="316">
        <v>0</v>
      </c>
      <c r="AT17" s="316"/>
      <c r="AU17" s="316"/>
      <c r="AV17" s="316"/>
      <c r="AW17" s="316"/>
      <c r="AX17" s="316"/>
      <c r="AY17" s="316"/>
      <c r="AZ17" s="316"/>
      <c r="BA17" s="316"/>
      <c r="BB17" s="318">
        <f t="shared" ref="BB17:BB43" si="3">SUM(E17:BA17)</f>
        <v>0</v>
      </c>
      <c r="BC17" s="318">
        <f t="shared" ref="BC17:BC36" si="4">C17</f>
        <v>0</v>
      </c>
      <c r="BD17" s="317"/>
    </row>
    <row r="18" spans="1:56" s="89" customFormat="1" ht="10.5" hidden="1" customHeight="1">
      <c r="A18" s="499"/>
      <c r="B18" s="499"/>
      <c r="C18" s="319"/>
      <c r="D18" s="88"/>
      <c r="E18" s="88"/>
      <c r="F18" s="319">
        <v>0</v>
      </c>
      <c r="G18" s="319">
        <v>0</v>
      </c>
      <c r="H18" s="319">
        <v>0</v>
      </c>
      <c r="I18" s="319">
        <v>0</v>
      </c>
      <c r="J18" s="320">
        <v>0</v>
      </c>
      <c r="K18" s="319">
        <v>0</v>
      </c>
      <c r="L18" s="319">
        <v>0</v>
      </c>
      <c r="M18" s="319">
        <v>0</v>
      </c>
      <c r="N18" s="319">
        <v>0</v>
      </c>
      <c r="O18" s="319">
        <v>0</v>
      </c>
      <c r="P18" s="319">
        <v>0</v>
      </c>
      <c r="Q18" s="319">
        <v>0</v>
      </c>
      <c r="R18" s="319">
        <v>0</v>
      </c>
      <c r="S18" s="319">
        <v>0</v>
      </c>
      <c r="T18" s="319">
        <v>0</v>
      </c>
      <c r="U18" s="319">
        <v>0</v>
      </c>
      <c r="V18" s="319">
        <v>0</v>
      </c>
      <c r="W18" s="319">
        <v>0</v>
      </c>
      <c r="X18" s="319">
        <v>0</v>
      </c>
      <c r="Y18" s="319">
        <v>0</v>
      </c>
      <c r="Z18" s="319">
        <v>0</v>
      </c>
      <c r="AA18" s="319">
        <v>0</v>
      </c>
      <c r="AB18" s="319">
        <v>0</v>
      </c>
      <c r="AC18" s="319">
        <v>0</v>
      </c>
      <c r="AD18" s="319">
        <v>0</v>
      </c>
      <c r="AE18" s="319">
        <v>0</v>
      </c>
      <c r="AF18" s="319">
        <v>0</v>
      </c>
      <c r="AG18" s="319">
        <v>0</v>
      </c>
      <c r="AH18" s="319"/>
      <c r="AI18" s="319"/>
      <c r="AJ18" s="319">
        <v>0</v>
      </c>
      <c r="AK18" s="319"/>
      <c r="AL18" s="319"/>
      <c r="AM18" s="319"/>
      <c r="AN18" s="319"/>
      <c r="AO18" s="319"/>
      <c r="AP18" s="319"/>
      <c r="AQ18" s="319"/>
      <c r="AR18" s="319"/>
      <c r="AS18" s="319">
        <v>0</v>
      </c>
      <c r="AT18" s="319"/>
      <c r="AU18" s="319"/>
      <c r="AV18" s="319"/>
      <c r="AW18" s="319"/>
      <c r="AX18" s="319"/>
      <c r="AY18" s="319"/>
      <c r="AZ18" s="319"/>
      <c r="BA18" s="319"/>
      <c r="BB18" s="318">
        <f t="shared" si="3"/>
        <v>0</v>
      </c>
      <c r="BC18" s="318">
        <f t="shared" si="4"/>
        <v>0</v>
      </c>
      <c r="BD18" s="317"/>
    </row>
    <row r="19" spans="1:56" s="91" customFormat="1" ht="13.5" customHeight="1">
      <c r="A19" s="512" t="s">
        <v>246</v>
      </c>
      <c r="B19" s="487"/>
      <c r="C19" s="322">
        <f>SUM(C9,C11,C13,C17)</f>
        <v>2563202.0700000003</v>
      </c>
      <c r="D19" s="90">
        <f>+D13+D11+D9</f>
        <v>0.79186995326003118</v>
      </c>
      <c r="E19" s="322">
        <f>SUM(E9,E17)</f>
        <v>0</v>
      </c>
      <c r="F19" s="322">
        <f t="shared" ref="F19:R19" si="5">SUM(F9,F11,F13,F17)</f>
        <v>143544.9119565</v>
      </c>
      <c r="G19" s="322">
        <f t="shared" si="5"/>
        <v>143544.9119565</v>
      </c>
      <c r="H19" s="322">
        <f t="shared" si="5"/>
        <v>204915.64070649998</v>
      </c>
      <c r="I19" s="322">
        <f t="shared" si="5"/>
        <v>204915.64070649998</v>
      </c>
      <c r="J19" s="322">
        <f t="shared" si="5"/>
        <v>145933.93914533342</v>
      </c>
      <c r="K19" s="322">
        <f t="shared" si="5"/>
        <v>145933.93914533342</v>
      </c>
      <c r="L19" s="322">
        <f t="shared" si="5"/>
        <v>145933.93914533342</v>
      </c>
      <c r="M19" s="322">
        <f t="shared" si="5"/>
        <v>55915.215131000004</v>
      </c>
      <c r="N19" s="322">
        <f t="shared" si="5"/>
        <v>55915.215131000004</v>
      </c>
      <c r="O19" s="322">
        <f t="shared" si="5"/>
        <v>80293.388487999997</v>
      </c>
      <c r="P19" s="322">
        <f t="shared" si="5"/>
        <v>80293.388487999997</v>
      </c>
      <c r="Q19" s="322">
        <f t="shared" si="5"/>
        <v>76030.720000000001</v>
      </c>
      <c r="R19" s="322">
        <f t="shared" si="5"/>
        <v>238584.22097000002</v>
      </c>
      <c r="S19" s="322">
        <f t="shared" ref="S19:AR19" si="6">S9+S11+S13</f>
        <v>284797.46464100003</v>
      </c>
      <c r="T19" s="322">
        <f t="shared" si="6"/>
        <v>180728.57923099998</v>
      </c>
      <c r="U19" s="322">
        <f t="shared" si="6"/>
        <v>162169.61296599999</v>
      </c>
      <c r="V19" s="322">
        <f t="shared" si="6"/>
        <v>111999.898808</v>
      </c>
      <c r="W19" s="322">
        <f t="shared" si="6"/>
        <v>101751.44338400001</v>
      </c>
      <c r="X19" s="322">
        <f t="shared" si="6"/>
        <v>0</v>
      </c>
      <c r="Y19" s="322">
        <f t="shared" si="6"/>
        <v>0</v>
      </c>
      <c r="Z19" s="322">
        <f t="shared" si="6"/>
        <v>0</v>
      </c>
      <c r="AA19" s="322">
        <f t="shared" si="6"/>
        <v>0</v>
      </c>
      <c r="AB19" s="322">
        <f t="shared" si="6"/>
        <v>0</v>
      </c>
      <c r="AC19" s="322">
        <f t="shared" si="6"/>
        <v>0</v>
      </c>
      <c r="AD19" s="322">
        <f t="shared" si="6"/>
        <v>0</v>
      </c>
      <c r="AE19" s="322">
        <f t="shared" si="6"/>
        <v>0</v>
      </c>
      <c r="AF19" s="322">
        <f t="shared" si="6"/>
        <v>0</v>
      </c>
      <c r="AG19" s="322">
        <f t="shared" si="6"/>
        <v>0</v>
      </c>
      <c r="AH19" s="322">
        <f t="shared" si="6"/>
        <v>0</v>
      </c>
      <c r="AI19" s="322">
        <f t="shared" si="6"/>
        <v>0</v>
      </c>
      <c r="AJ19" s="322">
        <f t="shared" si="6"/>
        <v>0</v>
      </c>
      <c r="AK19" s="322">
        <f t="shared" si="6"/>
        <v>0</v>
      </c>
      <c r="AL19" s="322">
        <f t="shared" si="6"/>
        <v>0</v>
      </c>
      <c r="AM19" s="322">
        <f t="shared" si="6"/>
        <v>0</v>
      </c>
      <c r="AN19" s="322">
        <f t="shared" si="6"/>
        <v>0</v>
      </c>
      <c r="AO19" s="322">
        <f t="shared" si="6"/>
        <v>0</v>
      </c>
      <c r="AP19" s="322">
        <f t="shared" si="6"/>
        <v>0</v>
      </c>
      <c r="AQ19" s="322">
        <f t="shared" si="6"/>
        <v>0</v>
      </c>
      <c r="AR19" s="322">
        <f t="shared" si="6"/>
        <v>0</v>
      </c>
      <c r="AS19" s="322">
        <f>SUM(AS9,AS11,AS13,AS17)</f>
        <v>0</v>
      </c>
      <c r="AT19" s="322"/>
      <c r="AU19" s="322"/>
      <c r="AV19" s="322"/>
      <c r="AW19" s="322"/>
      <c r="AX19" s="322"/>
      <c r="AY19" s="322"/>
      <c r="AZ19" s="322"/>
      <c r="BA19" s="322"/>
      <c r="BB19" s="318">
        <f t="shared" si="3"/>
        <v>2563202.0700000003</v>
      </c>
      <c r="BC19" s="318">
        <f t="shared" si="4"/>
        <v>2563202.0700000003</v>
      </c>
      <c r="BD19" s="317"/>
    </row>
    <row r="20" spans="1:56" s="93" customFormat="1" ht="13.5" customHeight="1">
      <c r="A20" s="503" t="s">
        <v>247</v>
      </c>
      <c r="B20" s="487"/>
      <c r="C20" s="323">
        <f>SUM(C10,C18)</f>
        <v>0</v>
      </c>
      <c r="D20" s="92"/>
      <c r="E20" s="323">
        <v>0</v>
      </c>
      <c r="F20" s="323">
        <v>0</v>
      </c>
      <c r="G20" s="323">
        <v>0</v>
      </c>
      <c r="H20" s="323">
        <v>0</v>
      </c>
      <c r="I20" s="323">
        <v>0</v>
      </c>
      <c r="J20" s="324">
        <v>0</v>
      </c>
      <c r="K20" s="323">
        <v>0</v>
      </c>
      <c r="L20" s="323">
        <v>0</v>
      </c>
      <c r="M20" s="323">
        <v>0</v>
      </c>
      <c r="N20" s="323">
        <v>0</v>
      </c>
      <c r="O20" s="323">
        <v>0</v>
      </c>
      <c r="P20" s="323">
        <v>0</v>
      </c>
      <c r="Q20" s="323">
        <v>0</v>
      </c>
      <c r="R20" s="323">
        <v>0</v>
      </c>
      <c r="S20" s="323">
        <v>0</v>
      </c>
      <c r="T20" s="323">
        <v>0</v>
      </c>
      <c r="U20" s="323">
        <v>0</v>
      </c>
      <c r="V20" s="323">
        <v>0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0</v>
      </c>
      <c r="AC20" s="323">
        <v>0</v>
      </c>
      <c r="AD20" s="323">
        <v>0</v>
      </c>
      <c r="AE20" s="323">
        <v>0</v>
      </c>
      <c r="AF20" s="323">
        <v>0</v>
      </c>
      <c r="AG20" s="323">
        <v>0</v>
      </c>
      <c r="AH20" s="323"/>
      <c r="AI20" s="323"/>
      <c r="AJ20" s="323">
        <v>0</v>
      </c>
      <c r="AK20" s="323"/>
      <c r="AL20" s="323"/>
      <c r="AM20" s="323"/>
      <c r="AN20" s="323"/>
      <c r="AO20" s="323"/>
      <c r="AP20" s="323"/>
      <c r="AQ20" s="323"/>
      <c r="AR20" s="323"/>
      <c r="AS20" s="323">
        <v>0</v>
      </c>
      <c r="AT20" s="323"/>
      <c r="AU20" s="323"/>
      <c r="AV20" s="323"/>
      <c r="AW20" s="323"/>
      <c r="AX20" s="323"/>
      <c r="AY20" s="323"/>
      <c r="AZ20" s="323"/>
      <c r="BA20" s="323"/>
      <c r="BB20" s="318">
        <f t="shared" si="3"/>
        <v>0</v>
      </c>
      <c r="BC20" s="318">
        <f t="shared" si="4"/>
        <v>0</v>
      </c>
      <c r="BD20" s="317"/>
    </row>
    <row r="21" spans="1:56" s="72" customFormat="1" ht="10.5" hidden="1" customHeight="1">
      <c r="A21" s="86"/>
      <c r="B21" s="86"/>
      <c r="C21" s="316"/>
      <c r="D21" s="86"/>
      <c r="E21" s="86"/>
      <c r="F21" s="316"/>
      <c r="G21" s="316"/>
      <c r="H21" s="316"/>
      <c r="I21" s="316"/>
      <c r="J21" s="315"/>
      <c r="K21" s="316"/>
      <c r="L21" s="316"/>
      <c r="M21" s="316"/>
      <c r="N21" s="316"/>
      <c r="O21" s="316"/>
      <c r="P21" s="316"/>
      <c r="Q21" s="316"/>
      <c r="R21" s="316"/>
      <c r="S21" s="316"/>
      <c r="T21" s="316"/>
      <c r="U21" s="316"/>
      <c r="V21" s="316"/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16"/>
      <c r="AZ21" s="316"/>
      <c r="BA21" s="316"/>
      <c r="BB21" s="318">
        <f t="shared" si="3"/>
        <v>0</v>
      </c>
      <c r="BC21" s="318">
        <f t="shared" si="4"/>
        <v>0</v>
      </c>
      <c r="BD21" s="317"/>
    </row>
    <row r="22" spans="1:56" s="72" customFormat="1" ht="13.5" customHeight="1">
      <c r="A22" s="501" t="s">
        <v>248</v>
      </c>
      <c r="B22" s="487"/>
      <c r="C22" s="316"/>
      <c r="D22" s="86"/>
      <c r="E22" s="86"/>
      <c r="F22" s="316"/>
      <c r="G22" s="316"/>
      <c r="H22" s="316"/>
      <c r="I22" s="316"/>
      <c r="J22" s="315"/>
      <c r="K22" s="316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8">
        <f t="shared" si="3"/>
        <v>0</v>
      </c>
      <c r="BC22" s="318">
        <f t="shared" si="4"/>
        <v>0</v>
      </c>
      <c r="BD22" s="317"/>
    </row>
    <row r="23" spans="1:56" s="72" customFormat="1" ht="10.5" customHeight="1">
      <c r="A23" s="498">
        <v>1</v>
      </c>
      <c r="B23" s="500" t="s">
        <v>45</v>
      </c>
      <c r="C23" s="325">
        <f>'PRESUPUESTO GENERAL'!H9</f>
        <v>157766.48000000001</v>
      </c>
      <c r="D23" s="87">
        <f>C23/$C$40</f>
        <v>4.8740025847279239E-2</v>
      </c>
      <c r="E23" s="316">
        <v>0</v>
      </c>
      <c r="F23" s="316">
        <v>22918.36</v>
      </c>
      <c r="G23" s="316">
        <v>22918.36</v>
      </c>
      <c r="H23" s="316">
        <v>10053.66</v>
      </c>
      <c r="I23" s="316">
        <v>10053.66</v>
      </c>
      <c r="J23" s="316">
        <v>134.24</v>
      </c>
      <c r="K23" s="316">
        <v>134.24</v>
      </c>
      <c r="L23" s="316">
        <v>134.24</v>
      </c>
      <c r="M23" s="316">
        <v>9915.8449999999993</v>
      </c>
      <c r="N23" s="316">
        <v>9915.8449999999993</v>
      </c>
      <c r="O23" s="316">
        <v>1885.9806249999999</v>
      </c>
      <c r="P23" s="316">
        <v>1885.9806249999999</v>
      </c>
      <c r="Q23" s="316">
        <v>30245.891250000001</v>
      </c>
      <c r="R23" s="316">
        <v>30125.001250000001</v>
      </c>
      <c r="S23" s="316">
        <v>1489.0352499999999</v>
      </c>
      <c r="T23" s="316">
        <v>1489.0352499999999</v>
      </c>
      <c r="U23" s="316">
        <v>1489.0352499999999</v>
      </c>
      <c r="V23" s="316">
        <v>1489.0352499999999</v>
      </c>
      <c r="W23" s="316">
        <v>1489.0352499999999</v>
      </c>
      <c r="X23" s="316"/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16"/>
      <c r="AJ23" s="316"/>
      <c r="AK23" s="316"/>
      <c r="AL23" s="316">
        <f t="shared" ref="AL23:BA23" si="7">+$C$23*-AL59</f>
        <v>0</v>
      </c>
      <c r="AM23" s="316">
        <f t="shared" si="7"/>
        <v>0</v>
      </c>
      <c r="AN23" s="316">
        <f t="shared" si="7"/>
        <v>0</v>
      </c>
      <c r="AO23" s="316">
        <f t="shared" si="7"/>
        <v>0</v>
      </c>
      <c r="AP23" s="316">
        <f t="shared" si="7"/>
        <v>0</v>
      </c>
      <c r="AQ23" s="316">
        <f t="shared" si="7"/>
        <v>0</v>
      </c>
      <c r="AR23" s="316">
        <f t="shared" si="7"/>
        <v>0</v>
      </c>
      <c r="AS23" s="316">
        <f t="shared" si="7"/>
        <v>0</v>
      </c>
      <c r="AT23" s="316">
        <f t="shared" si="7"/>
        <v>0</v>
      </c>
      <c r="AU23" s="316">
        <f t="shared" si="7"/>
        <v>0</v>
      </c>
      <c r="AV23" s="316">
        <f t="shared" si="7"/>
        <v>0</v>
      </c>
      <c r="AW23" s="316">
        <f t="shared" si="7"/>
        <v>0</v>
      </c>
      <c r="AX23" s="316">
        <f t="shared" si="7"/>
        <v>0</v>
      </c>
      <c r="AY23" s="316">
        <f t="shared" si="7"/>
        <v>0</v>
      </c>
      <c r="AZ23" s="316">
        <f t="shared" si="7"/>
        <v>0</v>
      </c>
      <c r="BA23" s="316">
        <f t="shared" si="7"/>
        <v>0</v>
      </c>
      <c r="BB23" s="318">
        <f t="shared" si="3"/>
        <v>157766.47999999995</v>
      </c>
      <c r="BC23" s="318">
        <f t="shared" si="4"/>
        <v>157766.48000000001</v>
      </c>
      <c r="BD23" s="317"/>
    </row>
    <row r="24" spans="1:56" s="89" customFormat="1" ht="10.5" customHeight="1">
      <c r="A24" s="499"/>
      <c r="B24" s="499"/>
      <c r="C24" s="316"/>
      <c r="D24" s="88"/>
      <c r="E24" s="88"/>
      <c r="F24" s="319">
        <v>0</v>
      </c>
      <c r="G24" s="316">
        <v>0</v>
      </c>
      <c r="H24" s="319">
        <v>0</v>
      </c>
      <c r="I24" s="316">
        <v>0</v>
      </c>
      <c r="J24" s="319">
        <v>0</v>
      </c>
      <c r="K24" s="320">
        <v>0</v>
      </c>
      <c r="L24" s="316">
        <v>0</v>
      </c>
      <c r="M24" s="320">
        <v>0</v>
      </c>
      <c r="N24" s="316">
        <v>0</v>
      </c>
      <c r="O24" s="319">
        <v>0</v>
      </c>
      <c r="P24" s="316">
        <v>0</v>
      </c>
      <c r="Q24" s="319">
        <v>0</v>
      </c>
      <c r="R24" s="319">
        <v>0</v>
      </c>
      <c r="S24" s="319">
        <v>0</v>
      </c>
      <c r="T24" s="319">
        <v>0</v>
      </c>
      <c r="U24" s="319">
        <v>0</v>
      </c>
      <c r="V24" s="319">
        <v>0</v>
      </c>
      <c r="W24" s="319">
        <v>0</v>
      </c>
      <c r="X24" s="315"/>
      <c r="Y24" s="315"/>
      <c r="Z24" s="315"/>
      <c r="AA24" s="315"/>
      <c r="AB24" s="315"/>
      <c r="AC24" s="315"/>
      <c r="AD24" s="315"/>
      <c r="AE24" s="315"/>
      <c r="AF24" s="315"/>
      <c r="AG24" s="315"/>
      <c r="AH24" s="315"/>
      <c r="AI24" s="315"/>
      <c r="AJ24" s="319">
        <v>0</v>
      </c>
      <c r="AK24" s="319"/>
      <c r="AL24" s="319"/>
      <c r="AM24" s="319"/>
      <c r="AN24" s="319"/>
      <c r="AO24" s="319"/>
      <c r="AP24" s="319"/>
      <c r="AQ24" s="319"/>
      <c r="AR24" s="319"/>
      <c r="AS24" s="319">
        <v>0</v>
      </c>
      <c r="AT24" s="319"/>
      <c r="AU24" s="319"/>
      <c r="AV24" s="319"/>
      <c r="AW24" s="319"/>
      <c r="AX24" s="319"/>
      <c r="AY24" s="319"/>
      <c r="AZ24" s="319"/>
      <c r="BA24" s="319"/>
      <c r="BB24" s="318">
        <f t="shared" si="3"/>
        <v>0</v>
      </c>
      <c r="BC24" s="318">
        <f t="shared" si="4"/>
        <v>0</v>
      </c>
      <c r="BD24" s="317"/>
    </row>
    <row r="25" spans="1:56" s="72" customFormat="1" ht="10.5" customHeight="1">
      <c r="A25" s="498">
        <v>2</v>
      </c>
      <c r="B25" s="500" t="s">
        <v>46</v>
      </c>
      <c r="C25" s="316">
        <f>'PRESUPUESTO GENERAL'!H14</f>
        <v>149460.04999999999</v>
      </c>
      <c r="D25" s="87">
        <f>C25/$C$40</f>
        <v>4.6173855816112816E-2</v>
      </c>
      <c r="E25" s="87"/>
      <c r="F25" s="316">
        <v>16179.692844499999</v>
      </c>
      <c r="G25" s="316">
        <v>16179.692844499999</v>
      </c>
      <c r="H25" s="316">
        <v>26643.7928445</v>
      </c>
      <c r="I25" s="316">
        <v>26643.7928445</v>
      </c>
      <c r="J25" s="316">
        <v>8745.9428740000003</v>
      </c>
      <c r="K25" s="315">
        <v>8745.9428740000003</v>
      </c>
      <c r="L25" s="316">
        <v>8745.9428740000003</v>
      </c>
      <c r="M25" s="315">
        <v>2075.91</v>
      </c>
      <c r="N25" s="316">
        <v>2075.91</v>
      </c>
      <c r="O25" s="316">
        <v>1893.65</v>
      </c>
      <c r="P25" s="316">
        <v>1893.65</v>
      </c>
      <c r="Q25" s="316">
        <v>807.64</v>
      </c>
      <c r="R25" s="316">
        <v>13794.385</v>
      </c>
      <c r="S25" s="316">
        <v>12164.465</v>
      </c>
      <c r="T25" s="316">
        <v>1379.12</v>
      </c>
      <c r="U25" s="316">
        <v>0</v>
      </c>
      <c r="V25" s="316">
        <v>1490.52</v>
      </c>
      <c r="W25" s="316">
        <v>0</v>
      </c>
      <c r="X25" s="316"/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8">
        <f t="shared" si="3"/>
        <v>149460.04999999999</v>
      </c>
      <c r="BC25" s="318">
        <f t="shared" si="4"/>
        <v>149460.04999999999</v>
      </c>
      <c r="BD25" s="317"/>
    </row>
    <row r="26" spans="1:56" s="89" customFormat="1" ht="10.5" customHeight="1">
      <c r="A26" s="499"/>
      <c r="B26" s="499"/>
      <c r="C26" s="319"/>
      <c r="D26" s="88"/>
      <c r="E26" s="88"/>
      <c r="F26" s="319">
        <v>0</v>
      </c>
      <c r="G26" s="316">
        <v>0</v>
      </c>
      <c r="H26" s="319">
        <v>0</v>
      </c>
      <c r="I26" s="316">
        <v>0</v>
      </c>
      <c r="J26" s="319">
        <v>0</v>
      </c>
      <c r="K26" s="320">
        <v>0</v>
      </c>
      <c r="L26" s="316">
        <v>0</v>
      </c>
      <c r="M26" s="320">
        <v>0</v>
      </c>
      <c r="N26" s="316">
        <v>0</v>
      </c>
      <c r="O26" s="319">
        <v>0</v>
      </c>
      <c r="P26" s="316">
        <v>0</v>
      </c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8">
        <f t="shared" si="3"/>
        <v>0</v>
      </c>
      <c r="BC26" s="318">
        <f t="shared" si="4"/>
        <v>0</v>
      </c>
      <c r="BD26" s="317"/>
    </row>
    <row r="27" spans="1:56" s="72" customFormat="1" ht="10.5" customHeight="1">
      <c r="A27" s="498">
        <v>3</v>
      </c>
      <c r="B27" s="500" t="s">
        <v>249</v>
      </c>
      <c r="C27" s="316">
        <f>'PRESUPUESTO GENERAL'!H15</f>
        <v>164547.59</v>
      </c>
      <c r="D27" s="87">
        <f>C27/$C$40</f>
        <v>5.0834966906199E-2</v>
      </c>
      <c r="E27" s="316">
        <v>0</v>
      </c>
      <c r="F27" s="316">
        <v>1370.27</v>
      </c>
      <c r="G27" s="316">
        <v>1370.27</v>
      </c>
      <c r="H27" s="316">
        <v>8311.6725000000006</v>
      </c>
      <c r="I27" s="316">
        <v>8311.6725000000006</v>
      </c>
      <c r="J27" s="316">
        <v>13193.0233333333</v>
      </c>
      <c r="K27" s="316">
        <v>13193.0233333333</v>
      </c>
      <c r="L27" s="316">
        <v>13193.0233333333</v>
      </c>
      <c r="M27" s="316">
        <v>38183.252500000002</v>
      </c>
      <c r="N27" s="316">
        <v>38183.252500000002</v>
      </c>
      <c r="O27" s="316">
        <v>6659.41</v>
      </c>
      <c r="P27" s="316">
        <v>6659.41</v>
      </c>
      <c r="Q27" s="316">
        <v>15919.31</v>
      </c>
      <c r="R27" s="316">
        <v>0</v>
      </c>
      <c r="S27" s="316">
        <v>0</v>
      </c>
      <c r="T27" s="316">
        <v>0</v>
      </c>
      <c r="U27" s="316">
        <v>0</v>
      </c>
      <c r="V27" s="316">
        <v>0</v>
      </c>
      <c r="W27" s="316">
        <v>0</v>
      </c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>
        <v>0</v>
      </c>
      <c r="AK27" s="316"/>
      <c r="AL27" s="316"/>
      <c r="AM27" s="316"/>
      <c r="AN27" s="316"/>
      <c r="AO27" s="316"/>
      <c r="AP27" s="316"/>
      <c r="AQ27" s="316"/>
      <c r="AR27" s="316"/>
      <c r="AS27" s="316">
        <v>0</v>
      </c>
      <c r="AT27" s="316"/>
      <c r="AU27" s="316"/>
      <c r="AV27" s="316"/>
      <c r="AW27" s="316"/>
      <c r="AX27" s="316"/>
      <c r="AY27" s="316"/>
      <c r="AZ27" s="316"/>
      <c r="BA27" s="316"/>
      <c r="BB27" s="318">
        <f t="shared" si="3"/>
        <v>164547.58999999991</v>
      </c>
      <c r="BC27" s="318">
        <f t="shared" si="4"/>
        <v>164547.59</v>
      </c>
      <c r="BD27" s="317"/>
    </row>
    <row r="28" spans="1:56" s="89" customFormat="1" ht="10.5" customHeight="1">
      <c r="A28" s="499"/>
      <c r="B28" s="499"/>
      <c r="C28" s="319"/>
      <c r="D28" s="88"/>
      <c r="E28" s="88"/>
      <c r="F28" s="319">
        <v>0</v>
      </c>
      <c r="G28" s="316">
        <v>0</v>
      </c>
      <c r="H28" s="319">
        <v>0</v>
      </c>
      <c r="I28" s="316">
        <v>0</v>
      </c>
      <c r="J28" s="319">
        <v>0</v>
      </c>
      <c r="K28" s="320">
        <v>0</v>
      </c>
      <c r="L28" s="316">
        <v>0</v>
      </c>
      <c r="M28" s="320">
        <v>0</v>
      </c>
      <c r="N28" s="316">
        <v>0</v>
      </c>
      <c r="O28" s="319">
        <v>0</v>
      </c>
      <c r="P28" s="316">
        <v>0</v>
      </c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  <c r="AR28" s="319"/>
      <c r="AS28" s="319"/>
      <c r="AT28" s="319"/>
      <c r="AU28" s="319"/>
      <c r="AV28" s="319"/>
      <c r="AW28" s="319"/>
      <c r="AX28" s="319"/>
      <c r="AY28" s="319"/>
      <c r="AZ28" s="319"/>
      <c r="BA28" s="319"/>
      <c r="BB28" s="318">
        <f t="shared" si="3"/>
        <v>0</v>
      </c>
      <c r="BC28" s="318">
        <f t="shared" si="4"/>
        <v>0</v>
      </c>
      <c r="BD28" s="317"/>
    </row>
    <row r="29" spans="1:56" s="72" customFormat="1" ht="10.5" customHeight="1">
      <c r="A29" s="498">
        <v>4</v>
      </c>
      <c r="B29" s="500" t="s">
        <v>250</v>
      </c>
      <c r="C29" s="316">
        <f>'PRESUPUESTO GENERAL'!H16</f>
        <v>100463.91</v>
      </c>
      <c r="D29" s="87">
        <f>C29/$C$40</f>
        <v>3.1037097171203509E-2</v>
      </c>
      <c r="E29" s="87"/>
      <c r="F29" s="316">
        <v>0</v>
      </c>
      <c r="G29" s="316">
        <v>0</v>
      </c>
      <c r="H29" s="316">
        <v>0</v>
      </c>
      <c r="I29" s="316">
        <v>0</v>
      </c>
      <c r="J29" s="316">
        <v>0</v>
      </c>
      <c r="K29" s="315">
        <v>0</v>
      </c>
      <c r="L29" s="316">
        <v>0</v>
      </c>
      <c r="M29" s="315">
        <v>6549.3950000000004</v>
      </c>
      <c r="N29" s="316">
        <v>6549.3950000000004</v>
      </c>
      <c r="O29" s="316">
        <v>17033.654999999999</v>
      </c>
      <c r="P29" s="316">
        <v>17033.654999999999</v>
      </c>
      <c r="Q29" s="316">
        <v>38222.239999999998</v>
      </c>
      <c r="R29" s="316">
        <v>6062.29</v>
      </c>
      <c r="S29" s="316">
        <v>9013.2800000000007</v>
      </c>
      <c r="T29" s="316">
        <v>0</v>
      </c>
      <c r="U29" s="316">
        <v>0</v>
      </c>
      <c r="V29" s="316">
        <v>0</v>
      </c>
      <c r="W29" s="316">
        <v>0</v>
      </c>
      <c r="X29" s="316"/>
      <c r="Y29" s="316"/>
      <c r="Z29" s="316"/>
      <c r="AA29" s="316"/>
      <c r="AB29" s="316"/>
      <c r="AC29" s="316"/>
      <c r="AD29" s="316"/>
      <c r="AE29" s="316"/>
      <c r="AF29" s="316"/>
      <c r="AG29" s="316"/>
      <c r="AH29" s="316"/>
      <c r="AI29" s="316"/>
      <c r="AJ29" s="316">
        <v>0</v>
      </c>
      <c r="AK29" s="316"/>
      <c r="AL29" s="316"/>
      <c r="AM29" s="316"/>
      <c r="AN29" s="316"/>
      <c r="AO29" s="316"/>
      <c r="AP29" s="316"/>
      <c r="AQ29" s="316"/>
      <c r="AR29" s="316"/>
      <c r="AS29" s="316">
        <v>0</v>
      </c>
      <c r="AT29" s="316"/>
      <c r="AU29" s="316"/>
      <c r="AV29" s="316"/>
      <c r="AW29" s="316"/>
      <c r="AX29" s="316"/>
      <c r="AY29" s="316"/>
      <c r="AZ29" s="316"/>
      <c r="BA29" s="316"/>
      <c r="BB29" s="318">
        <f t="shared" si="3"/>
        <v>100463.90999999999</v>
      </c>
      <c r="BC29" s="318">
        <f t="shared" si="4"/>
        <v>100463.91</v>
      </c>
      <c r="BD29" s="317"/>
    </row>
    <row r="30" spans="1:56" s="89" customFormat="1" ht="10.5" customHeight="1">
      <c r="A30" s="499"/>
      <c r="B30" s="499"/>
      <c r="C30" s="319"/>
      <c r="D30" s="88"/>
      <c r="E30" s="88"/>
      <c r="F30" s="319">
        <v>0</v>
      </c>
      <c r="G30" s="316">
        <v>0</v>
      </c>
      <c r="H30" s="319">
        <v>0</v>
      </c>
      <c r="I30" s="316">
        <v>0</v>
      </c>
      <c r="J30" s="319">
        <v>0</v>
      </c>
      <c r="K30" s="320">
        <v>0</v>
      </c>
      <c r="L30" s="316">
        <v>0</v>
      </c>
      <c r="M30" s="320">
        <v>0</v>
      </c>
      <c r="N30" s="316">
        <v>0</v>
      </c>
      <c r="O30" s="319">
        <v>0</v>
      </c>
      <c r="P30" s="316">
        <v>0</v>
      </c>
      <c r="Q30" s="319"/>
      <c r="R30" s="319"/>
      <c r="S30" s="319"/>
      <c r="T30" s="319"/>
      <c r="U30" s="319"/>
      <c r="V30" s="319"/>
      <c r="W30" s="319"/>
      <c r="X30" s="319"/>
      <c r="Y30" s="319"/>
      <c r="Z30" s="319"/>
      <c r="AA30" s="319"/>
      <c r="AB30" s="319"/>
      <c r="AC30" s="319"/>
      <c r="AD30" s="319"/>
      <c r="AE30" s="319"/>
      <c r="AF30" s="319"/>
      <c r="AG30" s="319"/>
      <c r="AH30" s="319"/>
      <c r="AI30" s="319"/>
      <c r="AJ30" s="319"/>
      <c r="AK30" s="319"/>
      <c r="AL30" s="319"/>
      <c r="AM30" s="319"/>
      <c r="AN30" s="319"/>
      <c r="AO30" s="319"/>
      <c r="AP30" s="319"/>
      <c r="AQ30" s="319"/>
      <c r="AR30" s="319"/>
      <c r="AS30" s="319"/>
      <c r="AT30" s="319"/>
      <c r="AU30" s="319"/>
      <c r="AV30" s="319"/>
      <c r="AW30" s="319"/>
      <c r="AX30" s="319"/>
      <c r="AY30" s="319"/>
      <c r="AZ30" s="319"/>
      <c r="BA30" s="319"/>
      <c r="BB30" s="318">
        <f t="shared" si="3"/>
        <v>0</v>
      </c>
      <c r="BC30" s="318">
        <f t="shared" si="4"/>
        <v>0</v>
      </c>
      <c r="BD30" s="317"/>
    </row>
    <row r="31" spans="1:56" s="72" customFormat="1" ht="10.5" customHeight="1">
      <c r="A31" s="498">
        <v>5</v>
      </c>
      <c r="B31" s="500" t="s">
        <v>107</v>
      </c>
      <c r="C31" s="316">
        <f>'PRESUPUESTO GENERAL'!H17</f>
        <v>58513.94</v>
      </c>
      <c r="D31" s="87">
        <f>C31/$C$40</f>
        <v>1.8077166632773617E-2</v>
      </c>
      <c r="E31" s="87"/>
      <c r="F31" s="316">
        <v>0</v>
      </c>
      <c r="G31" s="316">
        <v>0</v>
      </c>
      <c r="H31" s="316">
        <v>0</v>
      </c>
      <c r="I31" s="316">
        <v>0</v>
      </c>
      <c r="J31" s="316">
        <v>0</v>
      </c>
      <c r="K31" s="315">
        <v>0</v>
      </c>
      <c r="L31" s="316">
        <v>0</v>
      </c>
      <c r="M31" s="315">
        <v>382.18</v>
      </c>
      <c r="N31" s="316">
        <v>382.18</v>
      </c>
      <c r="O31" s="316">
        <v>10091.1625</v>
      </c>
      <c r="P31" s="316">
        <v>10091.1625</v>
      </c>
      <c r="Q31" s="316">
        <v>6507.1750000000002</v>
      </c>
      <c r="R31" s="316">
        <v>853.65</v>
      </c>
      <c r="S31" s="316">
        <v>1946.3</v>
      </c>
      <c r="T31" s="316">
        <v>12331.89</v>
      </c>
      <c r="U31" s="316">
        <v>0</v>
      </c>
      <c r="V31" s="316">
        <v>11499.11</v>
      </c>
      <c r="W31" s="316">
        <v>4429.13</v>
      </c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  <c r="AI31" s="316"/>
      <c r="AJ31" s="316">
        <v>0</v>
      </c>
      <c r="AK31" s="316"/>
      <c r="AL31" s="316"/>
      <c r="AM31" s="316"/>
      <c r="AN31" s="316"/>
      <c r="AO31" s="316"/>
      <c r="AP31" s="316"/>
      <c r="AQ31" s="316"/>
      <c r="AR31" s="316"/>
      <c r="AS31" s="316">
        <v>0</v>
      </c>
      <c r="AT31" s="316"/>
      <c r="AU31" s="316"/>
      <c r="AV31" s="316"/>
      <c r="AW31" s="316"/>
      <c r="AX31" s="316"/>
      <c r="AY31" s="316"/>
      <c r="AZ31" s="316"/>
      <c r="BA31" s="316"/>
      <c r="BB31" s="318">
        <f t="shared" si="3"/>
        <v>58513.939999999995</v>
      </c>
      <c r="BC31" s="318">
        <f t="shared" si="4"/>
        <v>58513.94</v>
      </c>
      <c r="BD31" s="317"/>
    </row>
    <row r="32" spans="1:56" s="89" customFormat="1" ht="10.5" customHeight="1">
      <c r="A32" s="499"/>
      <c r="B32" s="499"/>
      <c r="C32" s="319"/>
      <c r="D32" s="88"/>
      <c r="E32" s="88"/>
      <c r="F32" s="319">
        <v>0</v>
      </c>
      <c r="G32" s="316">
        <v>0</v>
      </c>
      <c r="H32" s="319">
        <v>0</v>
      </c>
      <c r="I32" s="316">
        <v>0</v>
      </c>
      <c r="J32" s="319">
        <v>0</v>
      </c>
      <c r="K32" s="320">
        <v>0</v>
      </c>
      <c r="L32" s="316">
        <v>0</v>
      </c>
      <c r="M32" s="320">
        <v>0</v>
      </c>
      <c r="N32" s="316">
        <v>0</v>
      </c>
      <c r="O32" s="319">
        <v>0</v>
      </c>
      <c r="P32" s="316">
        <v>0</v>
      </c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319"/>
      <c r="AI32" s="319"/>
      <c r="AJ32" s="319"/>
      <c r="AK32" s="319"/>
      <c r="AL32" s="319"/>
      <c r="AM32" s="319"/>
      <c r="AN32" s="319"/>
      <c r="AO32" s="319"/>
      <c r="AP32" s="319"/>
      <c r="AQ32" s="319"/>
      <c r="AR32" s="319"/>
      <c r="AS32" s="319"/>
      <c r="AT32" s="319"/>
      <c r="AU32" s="319"/>
      <c r="AV32" s="319"/>
      <c r="AW32" s="319"/>
      <c r="AX32" s="319"/>
      <c r="AY32" s="319"/>
      <c r="AZ32" s="319"/>
      <c r="BA32" s="319"/>
      <c r="BB32" s="318">
        <f t="shared" si="3"/>
        <v>0</v>
      </c>
      <c r="BC32" s="318">
        <f t="shared" si="4"/>
        <v>0</v>
      </c>
      <c r="BD32" s="317"/>
    </row>
    <row r="33" spans="1:56" s="72" customFormat="1" ht="10.5" customHeight="1">
      <c r="A33" s="498">
        <v>6</v>
      </c>
      <c r="B33" s="500" t="s">
        <v>251</v>
      </c>
      <c r="C33" s="316">
        <f>'PRESUPUESTO GENERAL'!H18</f>
        <v>42943.71</v>
      </c>
      <c r="D33" s="87">
        <f>C33/$C$40</f>
        <v>1.3266934366400668E-2</v>
      </c>
      <c r="E33" s="87"/>
      <c r="F33" s="316">
        <v>1249.482409</v>
      </c>
      <c r="G33" s="316">
        <v>1249.482409</v>
      </c>
      <c r="H33" s="316">
        <v>1249.482409</v>
      </c>
      <c r="I33" s="316">
        <v>1249.482409</v>
      </c>
      <c r="J33" s="315">
        <v>832.98827266666694</v>
      </c>
      <c r="K33" s="316">
        <v>832.98827266666694</v>
      </c>
      <c r="L33" s="316">
        <v>832.98827266666694</v>
      </c>
      <c r="M33" s="316">
        <v>1249.482409</v>
      </c>
      <c r="N33" s="316">
        <v>1249.482409</v>
      </c>
      <c r="O33" s="316">
        <v>1030.217682</v>
      </c>
      <c r="P33" s="316">
        <v>1030.217682</v>
      </c>
      <c r="Q33" s="316">
        <v>2060.4353639999999</v>
      </c>
      <c r="R33" s="316">
        <v>2264.460388</v>
      </c>
      <c r="S33" s="316">
        <v>2264.460388</v>
      </c>
      <c r="T33" s="316">
        <v>4719.8323060000002</v>
      </c>
      <c r="U33" s="316">
        <v>4719.8323060000002</v>
      </c>
      <c r="V33" s="316">
        <v>4719.8323060000002</v>
      </c>
      <c r="W33" s="316">
        <v>10138.562306</v>
      </c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  <c r="AH33" s="316"/>
      <c r="AI33" s="316"/>
      <c r="AJ33" s="316">
        <v>0</v>
      </c>
      <c r="AK33" s="316"/>
      <c r="AL33" s="316"/>
      <c r="AM33" s="316"/>
      <c r="AN33" s="316"/>
      <c r="AO33" s="316"/>
      <c r="AP33" s="316"/>
      <c r="AQ33" s="316"/>
      <c r="AR33" s="316"/>
      <c r="AS33" s="316">
        <v>0</v>
      </c>
      <c r="AT33" s="316"/>
      <c r="AU33" s="316"/>
      <c r="AV33" s="316"/>
      <c r="AW33" s="316"/>
      <c r="AX33" s="316"/>
      <c r="AY33" s="316"/>
      <c r="AZ33" s="316"/>
      <c r="BA33" s="316"/>
      <c r="BB33" s="318">
        <f t="shared" si="3"/>
        <v>42943.71</v>
      </c>
      <c r="BC33" s="318">
        <f t="shared" si="4"/>
        <v>42943.71</v>
      </c>
      <c r="BD33" s="317"/>
    </row>
    <row r="34" spans="1:56" s="89" customFormat="1" ht="10.5" customHeight="1">
      <c r="A34" s="499"/>
      <c r="B34" s="499"/>
      <c r="C34" s="319"/>
      <c r="D34" s="88"/>
      <c r="E34" s="88"/>
      <c r="F34" s="319"/>
      <c r="G34" s="319"/>
      <c r="H34" s="319"/>
      <c r="I34" s="319"/>
      <c r="J34" s="320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319"/>
      <c r="AI34" s="319"/>
      <c r="AJ34" s="319"/>
      <c r="AK34" s="319"/>
      <c r="AL34" s="319"/>
      <c r="AM34" s="319"/>
      <c r="AN34" s="319"/>
      <c r="AO34" s="319"/>
      <c r="AP34" s="319"/>
      <c r="AQ34" s="319"/>
      <c r="AR34" s="319"/>
      <c r="AS34" s="319"/>
      <c r="AT34" s="319"/>
      <c r="AU34" s="319"/>
      <c r="AV34" s="319"/>
      <c r="AW34" s="319"/>
      <c r="AX34" s="319"/>
      <c r="AY34" s="319"/>
      <c r="AZ34" s="319"/>
      <c r="BA34" s="319"/>
      <c r="BB34" s="318">
        <f t="shared" si="3"/>
        <v>0</v>
      </c>
      <c r="BC34" s="318">
        <f t="shared" si="4"/>
        <v>0</v>
      </c>
      <c r="BD34" s="317"/>
    </row>
    <row r="35" spans="1:56" s="72" customFormat="1" ht="10.5" hidden="1" customHeight="1">
      <c r="A35" s="498"/>
      <c r="B35" s="500"/>
      <c r="C35" s="316">
        <v>0</v>
      </c>
      <c r="D35" s="87">
        <f>C35/$C$40</f>
        <v>0</v>
      </c>
      <c r="E35" s="87"/>
      <c r="F35" s="316">
        <v>0</v>
      </c>
      <c r="G35" s="316">
        <v>0</v>
      </c>
      <c r="H35" s="316">
        <v>0</v>
      </c>
      <c r="I35" s="316">
        <v>0</v>
      </c>
      <c r="J35" s="316">
        <v>0</v>
      </c>
      <c r="K35" s="316">
        <v>0</v>
      </c>
      <c r="L35" s="316">
        <v>0</v>
      </c>
      <c r="M35" s="316">
        <v>0</v>
      </c>
      <c r="N35" s="316">
        <v>0</v>
      </c>
      <c r="O35" s="316">
        <v>0</v>
      </c>
      <c r="P35" s="316">
        <v>0</v>
      </c>
      <c r="Q35" s="316">
        <v>0</v>
      </c>
      <c r="R35" s="316">
        <v>0</v>
      </c>
      <c r="S35" s="316"/>
      <c r="T35" s="316"/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>
        <v>0</v>
      </c>
      <c r="AK35" s="316"/>
      <c r="AL35" s="316"/>
      <c r="AM35" s="316"/>
      <c r="AN35" s="316"/>
      <c r="AO35" s="316"/>
      <c r="AP35" s="316"/>
      <c r="AQ35" s="316"/>
      <c r="AR35" s="316"/>
      <c r="AS35" s="316">
        <v>0</v>
      </c>
      <c r="AT35" s="316"/>
      <c r="AU35" s="316"/>
      <c r="AV35" s="316"/>
      <c r="AW35" s="316"/>
      <c r="AX35" s="316"/>
      <c r="AY35" s="316"/>
      <c r="AZ35" s="316"/>
      <c r="BA35" s="316"/>
      <c r="BB35" s="318">
        <f t="shared" si="3"/>
        <v>0</v>
      </c>
      <c r="BC35" s="318">
        <f t="shared" si="4"/>
        <v>0</v>
      </c>
      <c r="BD35" s="317"/>
    </row>
    <row r="36" spans="1:56" s="89" customFormat="1" ht="10.5" hidden="1" customHeight="1">
      <c r="A36" s="499"/>
      <c r="B36" s="499"/>
      <c r="C36" s="319"/>
      <c r="D36" s="88"/>
      <c r="E36" s="88"/>
      <c r="F36" s="319"/>
      <c r="G36" s="319"/>
      <c r="H36" s="319"/>
      <c r="I36" s="319"/>
      <c r="J36" s="320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19"/>
      <c r="AM36" s="319"/>
      <c r="AN36" s="319"/>
      <c r="AO36" s="319"/>
      <c r="AP36" s="319"/>
      <c r="AQ36" s="319"/>
      <c r="AR36" s="319"/>
      <c r="AS36" s="319"/>
      <c r="AT36" s="319"/>
      <c r="AU36" s="319"/>
      <c r="AV36" s="319"/>
      <c r="AW36" s="319"/>
      <c r="AX36" s="319"/>
      <c r="AY36" s="319"/>
      <c r="AZ36" s="319"/>
      <c r="BA36" s="319"/>
      <c r="BB36" s="318">
        <f t="shared" si="3"/>
        <v>0</v>
      </c>
      <c r="BC36" s="318">
        <f t="shared" si="4"/>
        <v>0</v>
      </c>
      <c r="BD36" s="317"/>
    </row>
    <row r="37" spans="1:56" s="91" customFormat="1" ht="13.5" customHeight="1">
      <c r="A37" s="512" t="s">
        <v>246</v>
      </c>
      <c r="B37" s="487"/>
      <c r="C37" s="322">
        <f t="shared" ref="C37:AS37" si="8">SUM(C23,C25,C27,C29,C31,C33,C35)</f>
        <v>673695.67999999993</v>
      </c>
      <c r="D37" s="90">
        <f t="shared" si="8"/>
        <v>0.20813004673996885</v>
      </c>
      <c r="E37" s="322">
        <f t="shared" si="8"/>
        <v>0</v>
      </c>
      <c r="F37" s="322">
        <f t="shared" si="8"/>
        <v>41717.805253499995</v>
      </c>
      <c r="G37" s="322">
        <f t="shared" si="8"/>
        <v>41717.805253499995</v>
      </c>
      <c r="H37" s="322">
        <f t="shared" si="8"/>
        <v>46258.6077535</v>
      </c>
      <c r="I37" s="322">
        <f t="shared" si="8"/>
        <v>46258.6077535</v>
      </c>
      <c r="J37" s="326">
        <f t="shared" si="8"/>
        <v>22906.194479999966</v>
      </c>
      <c r="K37" s="322">
        <f t="shared" si="8"/>
        <v>22906.194479999966</v>
      </c>
      <c r="L37" s="322">
        <f t="shared" si="8"/>
        <v>22906.194479999966</v>
      </c>
      <c r="M37" s="322">
        <f t="shared" si="8"/>
        <v>58356.064908999993</v>
      </c>
      <c r="N37" s="322">
        <f t="shared" si="8"/>
        <v>58356.064908999993</v>
      </c>
      <c r="O37" s="322">
        <f t="shared" si="8"/>
        <v>38594.075807000001</v>
      </c>
      <c r="P37" s="322">
        <f t="shared" si="8"/>
        <v>38594.075807000001</v>
      </c>
      <c r="Q37" s="322">
        <f t="shared" si="8"/>
        <v>93762.691613999996</v>
      </c>
      <c r="R37" s="322">
        <f t="shared" si="8"/>
        <v>53099.786638000005</v>
      </c>
      <c r="S37" s="322">
        <f t="shared" si="8"/>
        <v>26877.540638000002</v>
      </c>
      <c r="T37" s="322">
        <f t="shared" si="8"/>
        <v>19919.877555999999</v>
      </c>
      <c r="U37" s="322">
        <f t="shared" si="8"/>
        <v>6208.8675560000001</v>
      </c>
      <c r="V37" s="322">
        <f t="shared" si="8"/>
        <v>19198.497556000002</v>
      </c>
      <c r="W37" s="322">
        <f t="shared" si="8"/>
        <v>16056.727556</v>
      </c>
      <c r="X37" s="322">
        <f t="shared" si="8"/>
        <v>0</v>
      </c>
      <c r="Y37" s="322">
        <f t="shared" si="8"/>
        <v>0</v>
      </c>
      <c r="Z37" s="322">
        <f t="shared" si="8"/>
        <v>0</v>
      </c>
      <c r="AA37" s="322">
        <f t="shared" si="8"/>
        <v>0</v>
      </c>
      <c r="AB37" s="322">
        <f t="shared" si="8"/>
        <v>0</v>
      </c>
      <c r="AC37" s="322">
        <f t="shared" si="8"/>
        <v>0</v>
      </c>
      <c r="AD37" s="322">
        <f t="shared" si="8"/>
        <v>0</v>
      </c>
      <c r="AE37" s="322">
        <f t="shared" si="8"/>
        <v>0</v>
      </c>
      <c r="AF37" s="322">
        <f t="shared" si="8"/>
        <v>0</v>
      </c>
      <c r="AG37" s="322">
        <f t="shared" si="8"/>
        <v>0</v>
      </c>
      <c r="AH37" s="322">
        <f t="shared" si="8"/>
        <v>0</v>
      </c>
      <c r="AI37" s="322">
        <f t="shared" si="8"/>
        <v>0</v>
      </c>
      <c r="AJ37" s="322">
        <f t="shared" si="8"/>
        <v>0</v>
      </c>
      <c r="AK37" s="322">
        <f t="shared" si="8"/>
        <v>0</v>
      </c>
      <c r="AL37" s="322">
        <f t="shared" si="8"/>
        <v>0</v>
      </c>
      <c r="AM37" s="322">
        <f t="shared" si="8"/>
        <v>0</v>
      </c>
      <c r="AN37" s="322">
        <f t="shared" si="8"/>
        <v>0</v>
      </c>
      <c r="AO37" s="322">
        <f t="shared" si="8"/>
        <v>0</v>
      </c>
      <c r="AP37" s="322">
        <f t="shared" si="8"/>
        <v>0</v>
      </c>
      <c r="AQ37" s="322">
        <f t="shared" si="8"/>
        <v>0</v>
      </c>
      <c r="AR37" s="322">
        <f t="shared" si="8"/>
        <v>0</v>
      </c>
      <c r="AS37" s="322">
        <f t="shared" si="8"/>
        <v>0</v>
      </c>
      <c r="AT37" s="322"/>
      <c r="AU37" s="322"/>
      <c r="AV37" s="322"/>
      <c r="AW37" s="322"/>
      <c r="AX37" s="322"/>
      <c r="AY37" s="322"/>
      <c r="AZ37" s="322"/>
      <c r="BA37" s="322"/>
      <c r="BB37" s="318">
        <f t="shared" si="3"/>
        <v>673695.67999999993</v>
      </c>
      <c r="BC37" s="318">
        <f>+C37</f>
        <v>673695.67999999993</v>
      </c>
      <c r="BD37" s="317"/>
    </row>
    <row r="38" spans="1:56" s="93" customFormat="1" ht="13.5" customHeight="1">
      <c r="A38" s="503" t="s">
        <v>247</v>
      </c>
      <c r="B38" s="487"/>
      <c r="C38" s="323"/>
      <c r="D38" s="92"/>
      <c r="E38" s="92"/>
      <c r="F38" s="323"/>
      <c r="G38" s="323"/>
      <c r="H38" s="323"/>
      <c r="I38" s="323"/>
      <c r="J38" s="324"/>
      <c r="K38" s="323"/>
      <c r="L38" s="323"/>
      <c r="M38" s="323"/>
      <c r="N38" s="323"/>
      <c r="O38" s="323"/>
      <c r="P38" s="323"/>
      <c r="Q38" s="323"/>
      <c r="R38" s="323"/>
      <c r="S38" s="323"/>
      <c r="T38" s="323"/>
      <c r="U38" s="323"/>
      <c r="V38" s="323"/>
      <c r="W38" s="323"/>
      <c r="X38" s="323"/>
      <c r="Y38" s="323"/>
      <c r="Z38" s="323"/>
      <c r="AA38" s="323"/>
      <c r="AB38" s="323"/>
      <c r="AC38" s="323"/>
      <c r="AD38" s="323"/>
      <c r="AE38" s="323"/>
      <c r="AF38" s="323"/>
      <c r="AG38" s="323"/>
      <c r="AH38" s="323"/>
      <c r="AI38" s="323"/>
      <c r="AJ38" s="323"/>
      <c r="AK38" s="323"/>
      <c r="AL38" s="323"/>
      <c r="AM38" s="323"/>
      <c r="AN38" s="323"/>
      <c r="AO38" s="323"/>
      <c r="AP38" s="323"/>
      <c r="AQ38" s="323"/>
      <c r="AR38" s="323"/>
      <c r="AS38" s="323"/>
      <c r="AT38" s="323"/>
      <c r="AU38" s="323"/>
      <c r="AV38" s="323"/>
      <c r="AW38" s="323"/>
      <c r="AX38" s="323"/>
      <c r="AY38" s="323"/>
      <c r="AZ38" s="323"/>
      <c r="BA38" s="323"/>
      <c r="BB38" s="318">
        <f t="shared" si="3"/>
        <v>0</v>
      </c>
      <c r="BC38" s="318"/>
      <c r="BD38" s="317"/>
    </row>
    <row r="39" spans="1:56" s="72" customFormat="1" ht="12.75" customHeight="1">
      <c r="C39" s="317"/>
      <c r="F39" s="316"/>
      <c r="G39" s="316"/>
      <c r="H39" s="316"/>
      <c r="I39" s="316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8">
        <f t="shared" si="3"/>
        <v>0</v>
      </c>
      <c r="BC39" s="318">
        <f>C39</f>
        <v>0</v>
      </c>
      <c r="BD39" s="317"/>
    </row>
    <row r="40" spans="1:56" s="91" customFormat="1" ht="13.5" customHeight="1">
      <c r="A40" s="513" t="s">
        <v>252</v>
      </c>
      <c r="B40" s="487"/>
      <c r="C40" s="327">
        <f>+C19+C37</f>
        <v>3236897.75</v>
      </c>
      <c r="D40" s="94">
        <f>D19+D37</f>
        <v>1</v>
      </c>
      <c r="E40" s="327">
        <f>SUM(E19,E37)</f>
        <v>0</v>
      </c>
      <c r="F40" s="328">
        <f t="shared" ref="F40:W40" si="9">+F37+F19</f>
        <v>185262.71721</v>
      </c>
      <c r="G40" s="328">
        <f t="shared" si="9"/>
        <v>185262.71721</v>
      </c>
      <c r="H40" s="328">
        <f t="shared" si="9"/>
        <v>251174.24845999997</v>
      </c>
      <c r="I40" s="328">
        <f t="shared" si="9"/>
        <v>251174.24845999997</v>
      </c>
      <c r="J40" s="328">
        <f t="shared" si="9"/>
        <v>168840.1336253334</v>
      </c>
      <c r="K40" s="328">
        <f t="shared" si="9"/>
        <v>168840.1336253334</v>
      </c>
      <c r="L40" s="328">
        <f t="shared" si="9"/>
        <v>168840.1336253334</v>
      </c>
      <c r="M40" s="328">
        <f t="shared" si="9"/>
        <v>114271.28004</v>
      </c>
      <c r="N40" s="327">
        <f t="shared" si="9"/>
        <v>114271.28004</v>
      </c>
      <c r="O40" s="327">
        <f t="shared" si="9"/>
        <v>118887.464295</v>
      </c>
      <c r="P40" s="327">
        <f t="shared" si="9"/>
        <v>118887.464295</v>
      </c>
      <c r="Q40" s="327">
        <f t="shared" si="9"/>
        <v>169793.41161399998</v>
      </c>
      <c r="R40" s="327">
        <f t="shared" si="9"/>
        <v>291684.00760800001</v>
      </c>
      <c r="S40" s="327">
        <f t="shared" si="9"/>
        <v>311675.00527900003</v>
      </c>
      <c r="T40" s="327">
        <f t="shared" si="9"/>
        <v>200648.45678699997</v>
      </c>
      <c r="U40" s="327">
        <f t="shared" si="9"/>
        <v>168378.480522</v>
      </c>
      <c r="V40" s="327">
        <f t="shared" si="9"/>
        <v>131198.39636399999</v>
      </c>
      <c r="W40" s="327">
        <f t="shared" si="9"/>
        <v>117808.17094000001</v>
      </c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327"/>
      <c r="AU40" s="327"/>
      <c r="AV40" s="327"/>
      <c r="AW40" s="327"/>
      <c r="AX40" s="327"/>
      <c r="AY40" s="327"/>
      <c r="AZ40" s="327"/>
      <c r="BA40" s="327"/>
      <c r="BB40" s="318">
        <f t="shared" si="3"/>
        <v>3236897.7500000009</v>
      </c>
      <c r="BC40" s="318">
        <f>C40</f>
        <v>3236897.75</v>
      </c>
      <c r="BD40" s="317"/>
    </row>
    <row r="41" spans="1:56" s="93" customFormat="1" ht="13.5" customHeight="1">
      <c r="A41" s="515" t="s">
        <v>253</v>
      </c>
      <c r="B41" s="487"/>
      <c r="C41" s="329">
        <f>SUM(C20,C38)</f>
        <v>0</v>
      </c>
      <c r="D41" s="95"/>
      <c r="E41" s="95"/>
      <c r="F41" s="329"/>
      <c r="G41" s="329"/>
      <c r="H41" s="329"/>
      <c r="I41" s="329"/>
      <c r="J41" s="330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29"/>
      <c r="Z41" s="329"/>
      <c r="AA41" s="329"/>
      <c r="AB41" s="329"/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29"/>
      <c r="BA41" s="329"/>
      <c r="BB41" s="318">
        <f t="shared" si="3"/>
        <v>0</v>
      </c>
      <c r="BC41" s="318">
        <f>C41</f>
        <v>0</v>
      </c>
      <c r="BD41" s="317"/>
    </row>
    <row r="42" spans="1:56" s="72" customFormat="1" ht="12.75" customHeight="1">
      <c r="C42" s="317"/>
      <c r="F42" s="316"/>
      <c r="G42" s="316"/>
      <c r="H42" s="316"/>
      <c r="I42" s="316"/>
      <c r="J42" s="317"/>
      <c r="K42" s="317"/>
      <c r="L42" s="317"/>
      <c r="M42" s="317"/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7"/>
      <c r="Y42" s="317"/>
      <c r="Z42" s="317"/>
      <c r="AA42" s="317"/>
      <c r="AB42" s="317"/>
      <c r="AC42" s="317"/>
      <c r="AD42" s="317"/>
      <c r="AE42" s="317"/>
      <c r="AF42" s="317"/>
      <c r="AG42" s="317"/>
      <c r="AH42" s="317"/>
      <c r="AI42" s="317"/>
      <c r="AJ42" s="317"/>
      <c r="AK42" s="317"/>
      <c r="AL42" s="317"/>
      <c r="AM42" s="317"/>
      <c r="AN42" s="317"/>
      <c r="AO42" s="317"/>
      <c r="AP42" s="317"/>
      <c r="AQ42" s="317"/>
      <c r="AR42" s="317"/>
      <c r="AS42" s="317"/>
      <c r="AT42" s="317"/>
      <c r="AU42" s="317"/>
      <c r="AV42" s="317"/>
      <c r="AW42" s="317"/>
      <c r="AX42" s="317"/>
      <c r="AY42" s="317"/>
      <c r="AZ42" s="317"/>
      <c r="BA42" s="317"/>
      <c r="BB42" s="318">
        <f t="shared" si="3"/>
        <v>0</v>
      </c>
      <c r="BC42" s="318">
        <f>C42</f>
        <v>0</v>
      </c>
      <c r="BD42" s="317"/>
    </row>
    <row r="43" spans="1:56" s="91" customFormat="1" ht="12" customHeight="1">
      <c r="A43" s="509" t="s">
        <v>254</v>
      </c>
      <c r="B43" s="505"/>
      <c r="C43" s="508" t="s">
        <v>255</v>
      </c>
      <c r="D43" s="487"/>
      <c r="E43" s="331">
        <f t="shared" ref="E43:W43" si="10">E40</f>
        <v>0</v>
      </c>
      <c r="F43" s="318">
        <f t="shared" si="10"/>
        <v>185262.71721</v>
      </c>
      <c r="G43" s="318">
        <f t="shared" si="10"/>
        <v>185262.71721</v>
      </c>
      <c r="H43" s="318">
        <f t="shared" si="10"/>
        <v>251174.24845999997</v>
      </c>
      <c r="I43" s="318">
        <f t="shared" si="10"/>
        <v>251174.24845999997</v>
      </c>
      <c r="J43" s="318">
        <f t="shared" si="10"/>
        <v>168840.1336253334</v>
      </c>
      <c r="K43" s="318">
        <f t="shared" si="10"/>
        <v>168840.1336253334</v>
      </c>
      <c r="L43" s="318">
        <f t="shared" si="10"/>
        <v>168840.1336253334</v>
      </c>
      <c r="M43" s="318">
        <f t="shared" si="10"/>
        <v>114271.28004</v>
      </c>
      <c r="N43" s="318">
        <f t="shared" si="10"/>
        <v>114271.28004</v>
      </c>
      <c r="O43" s="318">
        <f t="shared" si="10"/>
        <v>118887.464295</v>
      </c>
      <c r="P43" s="318">
        <f t="shared" si="10"/>
        <v>118887.464295</v>
      </c>
      <c r="Q43" s="318">
        <f t="shared" si="10"/>
        <v>169793.41161399998</v>
      </c>
      <c r="R43" s="318">
        <f t="shared" si="10"/>
        <v>291684.00760800001</v>
      </c>
      <c r="S43" s="318">
        <f t="shared" si="10"/>
        <v>311675.00527900003</v>
      </c>
      <c r="T43" s="318">
        <f t="shared" si="10"/>
        <v>200648.45678699997</v>
      </c>
      <c r="U43" s="318">
        <f t="shared" si="10"/>
        <v>168378.480522</v>
      </c>
      <c r="V43" s="318">
        <f t="shared" si="10"/>
        <v>131198.39636399999</v>
      </c>
      <c r="W43" s="318">
        <f t="shared" si="10"/>
        <v>117808.17094000001</v>
      </c>
      <c r="X43" s="318"/>
      <c r="Y43" s="318"/>
      <c r="Z43" s="318"/>
      <c r="AA43" s="318"/>
      <c r="AB43" s="318"/>
      <c r="AC43" s="318"/>
      <c r="AD43" s="318"/>
      <c r="AE43" s="318"/>
      <c r="AF43" s="318"/>
      <c r="AG43" s="318"/>
      <c r="AH43" s="318"/>
      <c r="AI43" s="318"/>
      <c r="AJ43" s="318"/>
      <c r="AK43" s="318"/>
      <c r="AL43" s="318"/>
      <c r="AM43" s="318"/>
      <c r="AN43" s="318"/>
      <c r="AO43" s="318"/>
      <c r="AP43" s="318"/>
      <c r="AQ43" s="318"/>
      <c r="AR43" s="318"/>
      <c r="AS43" s="318"/>
      <c r="AT43" s="318"/>
      <c r="AU43" s="318"/>
      <c r="AV43" s="318"/>
      <c r="AW43" s="318"/>
      <c r="AX43" s="318"/>
      <c r="AY43" s="318"/>
      <c r="AZ43" s="318"/>
      <c r="BA43" s="318"/>
      <c r="BB43" s="318">
        <f t="shared" si="3"/>
        <v>3236897.7500000009</v>
      </c>
      <c r="BC43" s="318">
        <f>C40</f>
        <v>3236897.75</v>
      </c>
      <c r="BD43" s="317"/>
    </row>
    <row r="44" spans="1:56" s="91" customFormat="1" ht="13.5" customHeight="1">
      <c r="A44" s="506"/>
      <c r="B44" s="507"/>
      <c r="C44" s="508" t="s">
        <v>256</v>
      </c>
      <c r="D44" s="487"/>
      <c r="E44" s="331">
        <f>E43</f>
        <v>0</v>
      </c>
      <c r="F44" s="332">
        <f>+F43</f>
        <v>185262.71721</v>
      </c>
      <c r="G44" s="332">
        <f t="shared" ref="G44:W44" si="11">F44+G43</f>
        <v>370525.43442000001</v>
      </c>
      <c r="H44" s="332">
        <f t="shared" si="11"/>
        <v>621699.68287999998</v>
      </c>
      <c r="I44" s="332">
        <f t="shared" si="11"/>
        <v>872873.93133999989</v>
      </c>
      <c r="J44" s="332">
        <f t="shared" si="11"/>
        <v>1041714.0649653333</v>
      </c>
      <c r="K44" s="332">
        <f t="shared" si="11"/>
        <v>1210554.1985906668</v>
      </c>
      <c r="L44" s="332">
        <f t="shared" si="11"/>
        <v>1379394.3322160002</v>
      </c>
      <c r="M44" s="332">
        <f t="shared" si="11"/>
        <v>1493665.6122560003</v>
      </c>
      <c r="N44" s="332">
        <f t="shared" si="11"/>
        <v>1607936.8922960004</v>
      </c>
      <c r="O44" s="332">
        <f t="shared" si="11"/>
        <v>1726824.3565910005</v>
      </c>
      <c r="P44" s="332">
        <f t="shared" si="11"/>
        <v>1845711.8208860005</v>
      </c>
      <c r="Q44" s="332">
        <f t="shared" si="11"/>
        <v>2015505.2325000004</v>
      </c>
      <c r="R44" s="332">
        <f t="shared" si="11"/>
        <v>2307189.2401080006</v>
      </c>
      <c r="S44" s="332">
        <f t="shared" si="11"/>
        <v>2618864.2453870005</v>
      </c>
      <c r="T44" s="332">
        <f t="shared" si="11"/>
        <v>2819512.7021740004</v>
      </c>
      <c r="U44" s="332">
        <f t="shared" si="11"/>
        <v>2987891.1826960007</v>
      </c>
      <c r="V44" s="332">
        <f t="shared" si="11"/>
        <v>3119089.5790600008</v>
      </c>
      <c r="W44" s="332">
        <f t="shared" si="11"/>
        <v>3236897.7500000009</v>
      </c>
      <c r="X44" s="332"/>
      <c r="Y44" s="332"/>
      <c r="Z44" s="332"/>
      <c r="AA44" s="332"/>
      <c r="AB44" s="332"/>
      <c r="AC44" s="332"/>
      <c r="AD44" s="332"/>
      <c r="AE44" s="332"/>
      <c r="AF44" s="332"/>
      <c r="AG44" s="332"/>
      <c r="AH44" s="332"/>
      <c r="AI44" s="332"/>
      <c r="AJ44" s="332"/>
      <c r="AK44" s="332"/>
      <c r="AL44" s="332"/>
      <c r="AM44" s="332"/>
      <c r="AN44" s="332"/>
      <c r="AO44" s="332"/>
      <c r="AP44" s="332"/>
      <c r="AQ44" s="332"/>
      <c r="AR44" s="332"/>
      <c r="AS44" s="332"/>
      <c r="AT44" s="318"/>
      <c r="AU44" s="318"/>
      <c r="AV44" s="318"/>
      <c r="AW44" s="318"/>
      <c r="AX44" s="318"/>
      <c r="AY44" s="318"/>
      <c r="AZ44" s="318"/>
      <c r="BA44" s="318"/>
      <c r="BB44" s="318">
        <v>0</v>
      </c>
      <c r="BC44" s="318">
        <f>C41</f>
        <v>0</v>
      </c>
      <c r="BD44" s="317"/>
    </row>
    <row r="45" spans="1:56" s="93" customFormat="1" ht="12" customHeight="1">
      <c r="A45" s="504" t="s">
        <v>257</v>
      </c>
      <c r="B45" s="505"/>
      <c r="C45" s="497" t="s">
        <v>255</v>
      </c>
      <c r="D45" s="487"/>
      <c r="E45" s="245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  <c r="AF45" s="333"/>
      <c r="AG45" s="333"/>
      <c r="AH45" s="333"/>
      <c r="AI45" s="333"/>
      <c r="AJ45" s="333"/>
      <c r="AK45" s="333"/>
      <c r="AL45" s="333"/>
      <c r="AM45" s="333"/>
      <c r="AN45" s="333"/>
      <c r="AO45" s="333"/>
      <c r="AP45" s="333"/>
      <c r="AQ45" s="333"/>
      <c r="AR45" s="333"/>
      <c r="AS45" s="333"/>
      <c r="AT45" s="333"/>
      <c r="AU45" s="333"/>
      <c r="AV45" s="333"/>
      <c r="AW45" s="333"/>
      <c r="AX45" s="333"/>
      <c r="AY45" s="333"/>
      <c r="AZ45" s="333"/>
      <c r="BA45" s="333"/>
      <c r="BB45" s="318">
        <f>SUM(E45:BA45)</f>
        <v>0</v>
      </c>
      <c r="BC45" s="318"/>
      <c r="BD45" s="317"/>
    </row>
    <row r="46" spans="1:56" s="93" customFormat="1" ht="13.5" customHeight="1">
      <c r="A46" s="506"/>
      <c r="B46" s="507"/>
      <c r="C46" s="497" t="s">
        <v>256</v>
      </c>
      <c r="D46" s="487"/>
      <c r="E46" s="245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3"/>
      <c r="Z46" s="333"/>
      <c r="AA46" s="333"/>
      <c r="AB46" s="333"/>
      <c r="AC46" s="333"/>
      <c r="AD46" s="333"/>
      <c r="AE46" s="333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3"/>
      <c r="AY46" s="333"/>
      <c r="AZ46" s="333"/>
      <c r="BA46" s="333"/>
      <c r="BB46" s="318">
        <f>SUM(E46:BA46)</f>
        <v>0</v>
      </c>
      <c r="BC46" s="318"/>
      <c r="BD46" s="317"/>
    </row>
    <row r="47" spans="1:56" s="91" customFormat="1" ht="12" customHeight="1">
      <c r="A47" s="509" t="s">
        <v>258</v>
      </c>
      <c r="B47" s="505"/>
      <c r="C47" s="508" t="s">
        <v>255</v>
      </c>
      <c r="D47" s="487"/>
      <c r="E47" s="96">
        <f t="shared" ref="E47:AJ47" si="12">E43/$C$40</f>
        <v>0</v>
      </c>
      <c r="F47" s="96">
        <f t="shared" si="12"/>
        <v>5.7234652287054787E-2</v>
      </c>
      <c r="G47" s="96">
        <f t="shared" si="12"/>
        <v>5.7234652287054787E-2</v>
      </c>
      <c r="H47" s="96">
        <f t="shared" si="12"/>
        <v>7.7597214326587852E-2</v>
      </c>
      <c r="I47" s="96">
        <f t="shared" si="12"/>
        <v>7.7597214326587852E-2</v>
      </c>
      <c r="J47" s="96">
        <f t="shared" si="12"/>
        <v>5.2161095797769147E-2</v>
      </c>
      <c r="K47" s="96">
        <f t="shared" si="12"/>
        <v>5.2161095797769147E-2</v>
      </c>
      <c r="L47" s="96">
        <f t="shared" si="12"/>
        <v>5.2161095797769147E-2</v>
      </c>
      <c r="M47" s="96">
        <f t="shared" si="12"/>
        <v>3.5302715397790986E-2</v>
      </c>
      <c r="N47" s="96">
        <f t="shared" si="12"/>
        <v>3.5302715397790986E-2</v>
      </c>
      <c r="O47" s="96">
        <f t="shared" si="12"/>
        <v>3.6728829106511013E-2</v>
      </c>
      <c r="P47" s="96">
        <f t="shared" si="12"/>
        <v>3.6728829106511013E-2</v>
      </c>
      <c r="Q47" s="96">
        <f t="shared" si="12"/>
        <v>5.2455599381846393E-2</v>
      </c>
      <c r="R47" s="96">
        <f t="shared" si="12"/>
        <v>9.0112209323881184E-2</v>
      </c>
      <c r="S47" s="96">
        <f t="shared" si="12"/>
        <v>9.6288183733638177E-2</v>
      </c>
      <c r="T47" s="96">
        <f t="shared" si="12"/>
        <v>6.1987888491998232E-2</v>
      </c>
      <c r="U47" s="96">
        <f t="shared" si="12"/>
        <v>5.2018473713604331E-2</v>
      </c>
      <c r="V47" s="96">
        <f t="shared" si="12"/>
        <v>4.0532141110728621E-2</v>
      </c>
      <c r="W47" s="96">
        <f t="shared" si="12"/>
        <v>3.6395394615106394E-2</v>
      </c>
      <c r="X47" s="96">
        <f t="shared" si="12"/>
        <v>0</v>
      </c>
      <c r="Y47" s="96">
        <f t="shared" si="12"/>
        <v>0</v>
      </c>
      <c r="Z47" s="96">
        <f t="shared" si="12"/>
        <v>0</v>
      </c>
      <c r="AA47" s="96">
        <f t="shared" si="12"/>
        <v>0</v>
      </c>
      <c r="AB47" s="96">
        <f t="shared" si="12"/>
        <v>0</v>
      </c>
      <c r="AC47" s="96">
        <f t="shared" si="12"/>
        <v>0</v>
      </c>
      <c r="AD47" s="96">
        <f t="shared" si="12"/>
        <v>0</v>
      </c>
      <c r="AE47" s="96">
        <f t="shared" si="12"/>
        <v>0</v>
      </c>
      <c r="AF47" s="96">
        <f t="shared" si="12"/>
        <v>0</v>
      </c>
      <c r="AG47" s="96">
        <f t="shared" si="12"/>
        <v>0</v>
      </c>
      <c r="AH47" s="96">
        <f t="shared" si="12"/>
        <v>0</v>
      </c>
      <c r="AI47" s="96">
        <f t="shared" si="12"/>
        <v>0</v>
      </c>
      <c r="AJ47" s="96">
        <f t="shared" si="12"/>
        <v>0</v>
      </c>
      <c r="AK47" s="96">
        <f t="shared" ref="AK47:BA47" si="13">AK43/$C$40</f>
        <v>0</v>
      </c>
      <c r="AL47" s="96">
        <f t="shared" si="13"/>
        <v>0</v>
      </c>
      <c r="AM47" s="96">
        <f t="shared" si="13"/>
        <v>0</v>
      </c>
      <c r="AN47" s="96">
        <f t="shared" si="13"/>
        <v>0</v>
      </c>
      <c r="AO47" s="96">
        <f t="shared" si="13"/>
        <v>0</v>
      </c>
      <c r="AP47" s="96">
        <f t="shared" si="13"/>
        <v>0</v>
      </c>
      <c r="AQ47" s="96">
        <f t="shared" si="13"/>
        <v>0</v>
      </c>
      <c r="AR47" s="96">
        <f t="shared" si="13"/>
        <v>0</v>
      </c>
      <c r="AS47" s="96">
        <f t="shared" si="13"/>
        <v>0</v>
      </c>
      <c r="AT47" s="96">
        <f t="shared" si="13"/>
        <v>0</v>
      </c>
      <c r="AU47" s="96">
        <f t="shared" si="13"/>
        <v>0</v>
      </c>
      <c r="AV47" s="96">
        <f t="shared" si="13"/>
        <v>0</v>
      </c>
      <c r="AW47" s="96">
        <f t="shared" si="13"/>
        <v>0</v>
      </c>
      <c r="AX47" s="96">
        <f t="shared" si="13"/>
        <v>0</v>
      </c>
      <c r="AY47" s="96">
        <f t="shared" si="13"/>
        <v>0</v>
      </c>
      <c r="AZ47" s="96">
        <f t="shared" si="13"/>
        <v>0</v>
      </c>
      <c r="BA47" s="96">
        <f t="shared" si="13"/>
        <v>0</v>
      </c>
      <c r="BB47" s="97">
        <f>SUM(E47:BA47)</f>
        <v>1.0000000000000002</v>
      </c>
      <c r="BC47" s="96">
        <f>D40</f>
        <v>1</v>
      </c>
      <c r="BD47" s="317"/>
    </row>
    <row r="48" spans="1:56" s="91" customFormat="1" ht="13.5" customHeight="1">
      <c r="A48" s="506"/>
      <c r="B48" s="507"/>
      <c r="C48" s="508" t="s">
        <v>256</v>
      </c>
      <c r="D48" s="487"/>
      <c r="E48" s="98">
        <f>E47</f>
        <v>0</v>
      </c>
      <c r="F48" s="96">
        <f>+F47</f>
        <v>5.7234652287054787E-2</v>
      </c>
      <c r="G48" s="96">
        <f t="shared" ref="G48:BA48" si="14">F48+G47</f>
        <v>0.11446930457410957</v>
      </c>
      <c r="H48" s="96">
        <f t="shared" si="14"/>
        <v>0.19206651890069742</v>
      </c>
      <c r="I48" s="96">
        <f t="shared" si="14"/>
        <v>0.26966373322728526</v>
      </c>
      <c r="J48" s="96">
        <f t="shared" si="14"/>
        <v>0.32182482902505438</v>
      </c>
      <c r="K48" s="96">
        <f t="shared" si="14"/>
        <v>0.37398592482282356</v>
      </c>
      <c r="L48" s="96">
        <f t="shared" si="14"/>
        <v>0.42614702062059273</v>
      </c>
      <c r="M48" s="96">
        <f t="shared" si="14"/>
        <v>0.46144973601838374</v>
      </c>
      <c r="N48" s="96">
        <f t="shared" si="14"/>
        <v>0.49675245141617475</v>
      </c>
      <c r="O48" s="96">
        <f t="shared" si="14"/>
        <v>0.53348128052268573</v>
      </c>
      <c r="P48" s="96">
        <f t="shared" si="14"/>
        <v>0.57021010962919672</v>
      </c>
      <c r="Q48" s="96">
        <f t="shared" si="14"/>
        <v>0.62266570901104312</v>
      </c>
      <c r="R48" s="96">
        <f t="shared" si="14"/>
        <v>0.71277791833492432</v>
      </c>
      <c r="S48" s="96">
        <f t="shared" si="14"/>
        <v>0.80906610206856255</v>
      </c>
      <c r="T48" s="96">
        <f t="shared" si="14"/>
        <v>0.87105399056056076</v>
      </c>
      <c r="U48" s="96">
        <f t="shared" si="14"/>
        <v>0.92307246427416512</v>
      </c>
      <c r="V48" s="96">
        <f t="shared" si="14"/>
        <v>0.96360460538489379</v>
      </c>
      <c r="W48" s="96">
        <f t="shared" si="14"/>
        <v>1.0000000000000002</v>
      </c>
      <c r="X48" s="96">
        <f t="shared" si="14"/>
        <v>1.0000000000000002</v>
      </c>
      <c r="Y48" s="96">
        <f t="shared" si="14"/>
        <v>1.0000000000000002</v>
      </c>
      <c r="Z48" s="96">
        <f t="shared" si="14"/>
        <v>1.0000000000000002</v>
      </c>
      <c r="AA48" s="96">
        <f t="shared" si="14"/>
        <v>1.0000000000000002</v>
      </c>
      <c r="AB48" s="96">
        <f t="shared" si="14"/>
        <v>1.0000000000000002</v>
      </c>
      <c r="AC48" s="96">
        <f t="shared" si="14"/>
        <v>1.0000000000000002</v>
      </c>
      <c r="AD48" s="96">
        <f t="shared" si="14"/>
        <v>1.0000000000000002</v>
      </c>
      <c r="AE48" s="96">
        <f t="shared" si="14"/>
        <v>1.0000000000000002</v>
      </c>
      <c r="AF48" s="96">
        <f t="shared" si="14"/>
        <v>1.0000000000000002</v>
      </c>
      <c r="AG48" s="96">
        <f t="shared" si="14"/>
        <v>1.0000000000000002</v>
      </c>
      <c r="AH48" s="96">
        <f t="shared" si="14"/>
        <v>1.0000000000000002</v>
      </c>
      <c r="AI48" s="96">
        <f t="shared" si="14"/>
        <v>1.0000000000000002</v>
      </c>
      <c r="AJ48" s="96">
        <f t="shared" si="14"/>
        <v>1.0000000000000002</v>
      </c>
      <c r="AK48" s="96">
        <f t="shared" si="14"/>
        <v>1.0000000000000002</v>
      </c>
      <c r="AL48" s="96">
        <f t="shared" si="14"/>
        <v>1.0000000000000002</v>
      </c>
      <c r="AM48" s="96">
        <f t="shared" si="14"/>
        <v>1.0000000000000002</v>
      </c>
      <c r="AN48" s="96">
        <f t="shared" si="14"/>
        <v>1.0000000000000002</v>
      </c>
      <c r="AO48" s="96">
        <f t="shared" si="14"/>
        <v>1.0000000000000002</v>
      </c>
      <c r="AP48" s="96">
        <f t="shared" si="14"/>
        <v>1.0000000000000002</v>
      </c>
      <c r="AQ48" s="96">
        <f t="shared" si="14"/>
        <v>1.0000000000000002</v>
      </c>
      <c r="AR48" s="96">
        <f t="shared" si="14"/>
        <v>1.0000000000000002</v>
      </c>
      <c r="AS48" s="96">
        <f t="shared" si="14"/>
        <v>1.0000000000000002</v>
      </c>
      <c r="AT48" s="96">
        <f t="shared" si="14"/>
        <v>1.0000000000000002</v>
      </c>
      <c r="AU48" s="96">
        <f t="shared" si="14"/>
        <v>1.0000000000000002</v>
      </c>
      <c r="AV48" s="96">
        <f t="shared" si="14"/>
        <v>1.0000000000000002</v>
      </c>
      <c r="AW48" s="96">
        <f t="shared" si="14"/>
        <v>1.0000000000000002</v>
      </c>
      <c r="AX48" s="96">
        <f t="shared" si="14"/>
        <v>1.0000000000000002</v>
      </c>
      <c r="AY48" s="96">
        <f t="shared" si="14"/>
        <v>1.0000000000000002</v>
      </c>
      <c r="AZ48" s="96">
        <f t="shared" si="14"/>
        <v>1.0000000000000002</v>
      </c>
      <c r="BA48" s="96">
        <f t="shared" si="14"/>
        <v>1.0000000000000002</v>
      </c>
      <c r="BB48" s="318"/>
      <c r="BC48" s="318"/>
      <c r="BD48" s="317"/>
    </row>
    <row r="49" spans="1:56" s="93" customFormat="1" ht="12" customHeight="1">
      <c r="A49" s="504" t="s">
        <v>259</v>
      </c>
      <c r="B49" s="505"/>
      <c r="C49" s="497" t="s">
        <v>255</v>
      </c>
      <c r="D49" s="487"/>
      <c r="E49" s="245"/>
      <c r="F49" s="333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3"/>
      <c r="AB49" s="333"/>
      <c r="AC49" s="333"/>
      <c r="AD49" s="333"/>
      <c r="AE49" s="333"/>
      <c r="AF49" s="333"/>
      <c r="AG49" s="333"/>
      <c r="AH49" s="333"/>
      <c r="AI49" s="333"/>
      <c r="AJ49" s="333"/>
      <c r="AK49" s="333"/>
      <c r="AL49" s="333"/>
      <c r="AM49" s="333"/>
      <c r="AN49" s="333"/>
      <c r="AO49" s="333"/>
      <c r="AP49" s="333"/>
      <c r="AQ49" s="333"/>
      <c r="AR49" s="333"/>
      <c r="AS49" s="333"/>
      <c r="AT49" s="333"/>
      <c r="AU49" s="333"/>
      <c r="AV49" s="333"/>
      <c r="AW49" s="333"/>
      <c r="AX49" s="333"/>
      <c r="AY49" s="333"/>
      <c r="AZ49" s="333"/>
      <c r="BA49" s="333"/>
      <c r="BB49" s="318">
        <f>SUM(E49:AS49)</f>
        <v>0</v>
      </c>
      <c r="BC49" s="318"/>
      <c r="BD49" s="317"/>
    </row>
    <row r="50" spans="1:56" s="93" customFormat="1" ht="13.5" customHeight="1">
      <c r="A50" s="506"/>
      <c r="B50" s="507"/>
      <c r="C50" s="497" t="s">
        <v>256</v>
      </c>
      <c r="D50" s="487"/>
      <c r="E50" s="245"/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3"/>
      <c r="Q50" s="333"/>
      <c r="R50" s="333"/>
      <c r="S50" s="333"/>
      <c r="T50" s="333"/>
      <c r="U50" s="333"/>
      <c r="V50" s="333"/>
      <c r="W50" s="333"/>
      <c r="X50" s="333"/>
      <c r="Y50" s="333"/>
      <c r="Z50" s="333"/>
      <c r="AA50" s="333"/>
      <c r="AB50" s="333"/>
      <c r="AC50" s="333"/>
      <c r="AD50" s="333"/>
      <c r="AE50" s="333"/>
      <c r="AF50" s="333"/>
      <c r="AG50" s="333"/>
      <c r="AH50" s="333"/>
      <c r="AI50" s="333"/>
      <c r="AJ50" s="333"/>
      <c r="AK50" s="333"/>
      <c r="AL50" s="333"/>
      <c r="AM50" s="333"/>
      <c r="AN50" s="333"/>
      <c r="AO50" s="333"/>
      <c r="AP50" s="333"/>
      <c r="AQ50" s="333"/>
      <c r="AR50" s="333"/>
      <c r="AS50" s="333"/>
      <c r="AT50" s="333"/>
      <c r="AU50" s="333"/>
      <c r="AV50" s="333"/>
      <c r="AW50" s="333"/>
      <c r="AX50" s="333"/>
      <c r="AY50" s="333"/>
      <c r="AZ50" s="333"/>
      <c r="BA50" s="333"/>
      <c r="BB50" s="318">
        <f>SUM(E50:AS50)</f>
        <v>0</v>
      </c>
      <c r="BC50" s="318"/>
      <c r="BD50" s="317"/>
    </row>
    <row r="51" spans="1:56" s="72" customFormat="1" ht="12.75" customHeight="1">
      <c r="F51" s="317"/>
      <c r="G51" s="317"/>
      <c r="H51" s="317"/>
      <c r="I51" s="317"/>
      <c r="J51" s="317"/>
      <c r="K51" s="317"/>
    </row>
    <row r="52" spans="1:56" ht="15" customHeight="1">
      <c r="B52" s="334"/>
      <c r="C52" s="335"/>
      <c r="E52" s="336"/>
      <c r="F52" s="336"/>
      <c r="G52" s="336"/>
      <c r="H52" s="336"/>
      <c r="I52" s="334"/>
      <c r="J52" s="334"/>
      <c r="K52" s="334"/>
      <c r="L52" s="334"/>
      <c r="M52" s="334"/>
      <c r="N52" s="334"/>
      <c r="O52" s="334"/>
      <c r="P52" s="334"/>
      <c r="Q52" s="334"/>
      <c r="R52" s="334"/>
      <c r="S52" s="334"/>
      <c r="T52" s="334"/>
      <c r="U52" s="334"/>
      <c r="V52" s="334"/>
      <c r="W52" s="334"/>
      <c r="X52" s="334"/>
      <c r="Y52" s="334"/>
      <c r="Z52" s="334"/>
      <c r="AA52" s="334"/>
      <c r="AB52" s="334"/>
      <c r="AC52" s="334">
        <f>-AC44</f>
        <v>0</v>
      </c>
      <c r="AD52" s="334"/>
      <c r="AE52" s="334"/>
      <c r="AF52" s="334"/>
      <c r="AG52" s="334"/>
      <c r="AH52" s="334"/>
      <c r="AI52" s="334"/>
      <c r="AK52" s="334">
        <f>-AK44-AC52</f>
        <v>0</v>
      </c>
      <c r="AS52" s="334">
        <f>-AS44-AK52-AC52</f>
        <v>0</v>
      </c>
      <c r="BB52" s="336"/>
    </row>
    <row r="53" spans="1:56" ht="15" customHeight="1">
      <c r="B53" s="334"/>
      <c r="C53" s="335"/>
      <c r="E53" s="336"/>
      <c r="F53" s="336"/>
      <c r="G53" s="336"/>
      <c r="H53" s="336"/>
      <c r="I53" s="334"/>
      <c r="J53" s="334"/>
      <c r="K53" s="334"/>
      <c r="L53" s="334"/>
      <c r="M53" s="334"/>
      <c r="N53" s="334"/>
      <c r="O53" s="334"/>
      <c r="P53" s="334"/>
      <c r="Q53" s="334"/>
      <c r="R53" s="334"/>
      <c r="S53" s="334"/>
      <c r="T53" s="334"/>
      <c r="U53" s="334"/>
      <c r="V53" s="334"/>
      <c r="W53" s="334"/>
      <c r="X53" s="334"/>
      <c r="Y53" s="334"/>
      <c r="Z53" s="334"/>
      <c r="AA53" s="334"/>
      <c r="AB53" s="334"/>
      <c r="AC53" s="334"/>
      <c r="AD53" s="334"/>
      <c r="AE53" s="334"/>
      <c r="AF53" s="334"/>
      <c r="AG53" s="334"/>
      <c r="AH53" s="334"/>
      <c r="AI53" s="334"/>
    </row>
    <row r="54" spans="1:56" ht="15" customHeight="1">
      <c r="B54" s="334"/>
      <c r="C54" s="335"/>
      <c r="E54" s="336"/>
      <c r="F54" s="336"/>
      <c r="G54" s="336"/>
      <c r="H54" s="336"/>
      <c r="I54" s="334"/>
      <c r="J54" s="334"/>
      <c r="K54" s="334"/>
      <c r="L54" s="334"/>
      <c r="M54" s="334"/>
      <c r="N54" s="334"/>
      <c r="O54" s="334"/>
      <c r="P54" s="334"/>
      <c r="Q54" s="334"/>
      <c r="R54" s="334"/>
      <c r="S54" s="334"/>
      <c r="T54" s="334"/>
      <c r="U54" s="334"/>
      <c r="V54" s="334"/>
      <c r="W54" s="334"/>
      <c r="X54" s="334"/>
      <c r="Y54" s="334"/>
      <c r="Z54" s="334"/>
      <c r="AA54" s="334"/>
      <c r="AB54" s="334"/>
      <c r="AC54" s="334"/>
      <c r="AD54" s="334"/>
      <c r="AE54" s="334"/>
      <c r="AF54" s="334"/>
      <c r="AG54" s="334"/>
      <c r="AH54" s="334"/>
      <c r="AI54" s="334"/>
    </row>
    <row r="55" spans="1:56" ht="15" customHeight="1">
      <c r="B55" s="334"/>
      <c r="C55" s="335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337"/>
      <c r="Q55" s="337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</row>
    <row r="56" spans="1:56" ht="15" customHeight="1">
      <c r="A56" s="99"/>
      <c r="B56" s="338"/>
      <c r="C56" s="100"/>
      <c r="D56" s="99"/>
      <c r="E56" s="101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BB56" s="102"/>
    </row>
    <row r="57" spans="1:56" ht="15" customHeight="1">
      <c r="C57" s="335"/>
      <c r="D57" s="99"/>
      <c r="E57" s="101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BB57" s="102"/>
    </row>
    <row r="58" spans="1:56" ht="15" customHeight="1">
      <c r="B58" s="339"/>
      <c r="D58" s="99"/>
      <c r="E58" s="101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BB58" s="102"/>
    </row>
    <row r="59" spans="1:56" ht="15" customHeight="1">
      <c r="D59" s="99"/>
      <c r="E59" s="101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BB59" s="102"/>
    </row>
    <row r="70" spans="1:5" ht="15" customHeight="1">
      <c r="A70" s="103" t="s">
        <v>260</v>
      </c>
      <c r="B70" s="103" t="s">
        <v>261</v>
      </c>
      <c r="C70" s="103" t="s">
        <v>262</v>
      </c>
      <c r="D70" s="103" t="s">
        <v>263</v>
      </c>
    </row>
    <row r="71" spans="1:5" ht="15" customHeight="1">
      <c r="A71" s="104"/>
      <c r="B71" s="105" t="s">
        <v>264</v>
      </c>
      <c r="C71" s="105" t="s">
        <v>264</v>
      </c>
      <c r="D71" s="104"/>
    </row>
    <row r="72" spans="1:5" ht="15" customHeight="1">
      <c r="A72" s="104"/>
      <c r="B72" s="106" t="e">
        <f>+#REF!</f>
        <v>#REF!</v>
      </c>
      <c r="C72" s="106" t="e">
        <f>+#REF!</f>
        <v>#REF!</v>
      </c>
      <c r="D72" s="106" t="e">
        <f>+#REF!</f>
        <v>#REF!</v>
      </c>
      <c r="E72" s="107" t="e">
        <f>+D72/D81</f>
        <v>#REF!</v>
      </c>
    </row>
    <row r="73" spans="1:5" ht="15" customHeight="1">
      <c r="A73" s="104"/>
      <c r="B73" s="104"/>
      <c r="C73" s="104"/>
      <c r="D73" s="104"/>
    </row>
    <row r="74" spans="1:5" ht="15" customHeight="1">
      <c r="A74" s="103" t="s">
        <v>265</v>
      </c>
      <c r="B74" s="103" t="s">
        <v>261</v>
      </c>
      <c r="C74" s="103" t="s">
        <v>262</v>
      </c>
      <c r="D74" s="103" t="s">
        <v>263</v>
      </c>
    </row>
    <row r="75" spans="1:5" ht="15" customHeight="1">
      <c r="A75" s="104"/>
      <c r="B75" s="105" t="s">
        <v>264</v>
      </c>
      <c r="C75" s="105" t="s">
        <v>264</v>
      </c>
      <c r="D75" s="104"/>
    </row>
    <row r="76" spans="1:5" ht="15" customHeight="1">
      <c r="A76" s="104"/>
      <c r="B76" s="106" t="e">
        <f>+#REF!</f>
        <v>#REF!</v>
      </c>
      <c r="C76" s="106" t="e">
        <f>+#REF!</f>
        <v>#REF!</v>
      </c>
      <c r="D76" s="106" t="e">
        <f>+#REF!</f>
        <v>#REF!</v>
      </c>
      <c r="E76" s="107" t="e">
        <f>+D76/D81</f>
        <v>#REF!</v>
      </c>
    </row>
    <row r="77" spans="1:5" ht="15" customHeight="1">
      <c r="A77" s="104"/>
      <c r="B77" s="104"/>
      <c r="C77" s="104"/>
      <c r="D77" s="104"/>
    </row>
    <row r="78" spans="1:5" ht="15" customHeight="1">
      <c r="A78" s="103" t="s">
        <v>266</v>
      </c>
      <c r="B78" s="103" t="s">
        <v>261</v>
      </c>
      <c r="C78" s="103" t="s">
        <v>262</v>
      </c>
      <c r="D78" s="103" t="s">
        <v>263</v>
      </c>
    </row>
    <row r="79" spans="1:5" ht="15" customHeight="1">
      <c r="A79" s="104"/>
      <c r="B79" s="105" t="s">
        <v>264</v>
      </c>
      <c r="C79" s="105" t="s">
        <v>264</v>
      </c>
      <c r="D79" s="104"/>
    </row>
    <row r="80" spans="1:5" ht="15" customHeight="1">
      <c r="A80" s="104"/>
      <c r="B80" s="106" t="e">
        <f>+#REF!</f>
        <v>#REF!</v>
      </c>
      <c r="C80" s="106" t="e">
        <f>+#REF!</f>
        <v>#REF!</v>
      </c>
      <c r="D80" s="106" t="e">
        <f>+#REF!</f>
        <v>#REF!</v>
      </c>
      <c r="E80" s="107" t="e">
        <f>+D80/D81</f>
        <v>#REF!</v>
      </c>
    </row>
    <row r="81" spans="1:5" ht="15" customHeight="1">
      <c r="A81" s="108" t="s">
        <v>55</v>
      </c>
      <c r="B81" s="109" t="e">
        <f>+B80+B76+B72</f>
        <v>#REF!</v>
      </c>
      <c r="C81" s="109" t="e">
        <f>+C80+C76+C72</f>
        <v>#REF!</v>
      </c>
      <c r="D81" s="109" t="e">
        <f>+D80+D76+D72</f>
        <v>#REF!</v>
      </c>
      <c r="E81" s="110" t="e">
        <f>+E80+E76+E72</f>
        <v>#REF!</v>
      </c>
    </row>
  </sheetData>
  <mergeCells count="48">
    <mergeCell ref="A47:B48"/>
    <mergeCell ref="A27:A28"/>
    <mergeCell ref="C47:D47"/>
    <mergeCell ref="A7:B7"/>
    <mergeCell ref="A41:B41"/>
    <mergeCell ref="A25:A26"/>
    <mergeCell ref="B13:B14"/>
    <mergeCell ref="A37:B37"/>
    <mergeCell ref="B31:B32"/>
    <mergeCell ref="B27:B28"/>
    <mergeCell ref="B17:B18"/>
    <mergeCell ref="B11:B12"/>
    <mergeCell ref="C45:D45"/>
    <mergeCell ref="B35:B36"/>
    <mergeCell ref="B29:B30"/>
    <mergeCell ref="B23:B24"/>
    <mergeCell ref="C50:D50"/>
    <mergeCell ref="C44:D44"/>
    <mergeCell ref="A3:B3"/>
    <mergeCell ref="A43:B44"/>
    <mergeCell ref="B15:B16"/>
    <mergeCell ref="C43:D43"/>
    <mergeCell ref="B9:B10"/>
    <mergeCell ref="A49:B50"/>
    <mergeCell ref="C48:D48"/>
    <mergeCell ref="A19:B19"/>
    <mergeCell ref="A15:A16"/>
    <mergeCell ref="B25:B26"/>
    <mergeCell ref="A31:A32"/>
    <mergeCell ref="A40:B40"/>
    <mergeCell ref="A11:A12"/>
    <mergeCell ref="C49:D49"/>
    <mergeCell ref="A2:B2"/>
    <mergeCell ref="C46:D46"/>
    <mergeCell ref="A17:A18"/>
    <mergeCell ref="A13:A14"/>
    <mergeCell ref="A33:A34"/>
    <mergeCell ref="B33:B34"/>
    <mergeCell ref="A29:A30"/>
    <mergeCell ref="A23:A24"/>
    <mergeCell ref="A8:B8"/>
    <mergeCell ref="A22:B22"/>
    <mergeCell ref="A4:B4"/>
    <mergeCell ref="A35:A36"/>
    <mergeCell ref="A20:B20"/>
    <mergeCell ref="A38:B38"/>
    <mergeCell ref="A9:A10"/>
    <mergeCell ref="A45:B4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WVP144"/>
  <sheetViews>
    <sheetView showZeros="0" zoomScale="90" zoomScaleNormal="90" workbookViewId="0">
      <selection sqref="A1:P1"/>
    </sheetView>
  </sheetViews>
  <sheetFormatPr baseColWidth="10" defaultColWidth="11.42578125" defaultRowHeight="15" customHeight="1"/>
  <cols>
    <col min="1" max="1" width="14.5703125" style="111" customWidth="1"/>
    <col min="2" max="2" width="10.140625" style="112" customWidth="1"/>
    <col min="3" max="3" width="9.28515625" style="112" customWidth="1"/>
    <col min="4" max="4" width="11.7109375" style="112" customWidth="1"/>
    <col min="5" max="5" width="12.7109375" style="113" customWidth="1"/>
    <col min="6" max="10" width="12.7109375" style="112" customWidth="1"/>
    <col min="11" max="12" width="12.7109375" style="114" customWidth="1"/>
    <col min="13" max="13" width="12.7109375" style="112" customWidth="1"/>
    <col min="14" max="14" width="11.42578125" style="112" customWidth="1"/>
    <col min="15" max="15" width="13" style="112" customWidth="1"/>
    <col min="16" max="16" width="11.5703125" style="112" customWidth="1"/>
    <col min="17" max="17" width="11.42578125" style="112" customWidth="1"/>
    <col min="18" max="18" width="11.7109375" style="112" customWidth="1"/>
    <col min="19" max="19" width="7.5703125" style="112" customWidth="1"/>
    <col min="20" max="20" width="13.85546875" style="112" customWidth="1"/>
    <col min="21" max="21" width="9.85546875" style="112" customWidth="1"/>
    <col min="22" max="22" width="11.5703125" style="112" customWidth="1"/>
    <col min="23" max="23" width="12.7109375" style="112" customWidth="1"/>
    <col min="24" max="24" width="15.85546875" style="112" customWidth="1"/>
    <col min="25" max="25" width="18.28515625" style="112" customWidth="1"/>
    <col min="26" max="26" width="19" style="115" customWidth="1"/>
    <col min="27" max="27" width="13.28515625" style="112" customWidth="1"/>
    <col min="28" max="28" width="17.85546875" style="112" customWidth="1"/>
    <col min="29" max="29" width="15" style="116" customWidth="1"/>
    <col min="30" max="30" width="14" style="116" customWidth="1"/>
    <col min="31" max="31" width="15.28515625" style="116" customWidth="1"/>
    <col min="32" max="32" width="16.42578125" style="116" customWidth="1"/>
    <col min="33" max="33" width="15.7109375" style="112" customWidth="1"/>
    <col min="34" max="34" width="15" style="112" customWidth="1"/>
    <col min="35" max="35" width="12.7109375" style="112" customWidth="1"/>
    <col min="36" max="36" width="14.42578125" style="112" customWidth="1"/>
    <col min="37" max="37" width="14" style="112" customWidth="1"/>
    <col min="38" max="40" width="14.42578125" style="112" customWidth="1"/>
    <col min="41" max="41" width="13.5703125" style="112" customWidth="1"/>
    <col min="42" max="43" width="14.42578125" style="112" customWidth="1"/>
    <col min="44" max="44" width="14" style="112" hidden="1" customWidth="1"/>
    <col min="45" max="46" width="14.42578125" style="112" hidden="1" customWidth="1"/>
    <col min="47" max="47" width="14" style="112" hidden="1" customWidth="1"/>
    <col min="48" max="49" width="14.85546875" style="112" hidden="1" customWidth="1"/>
    <col min="50" max="51" width="14.42578125" style="112" hidden="1" customWidth="1"/>
    <col min="52" max="53" width="14.85546875" style="112" hidden="1" customWidth="1"/>
    <col min="54" max="54" width="14.42578125" style="112" hidden="1" customWidth="1"/>
    <col min="55" max="55" width="16" style="112" hidden="1" customWidth="1"/>
    <col min="56" max="56" width="15.85546875" style="112" hidden="1" customWidth="1"/>
    <col min="57" max="57" width="16" style="112" hidden="1" customWidth="1"/>
    <col min="58" max="60" width="16.140625" style="112" hidden="1" customWidth="1"/>
    <col min="61" max="61" width="16.5703125" style="112" hidden="1" customWidth="1"/>
    <col min="62" max="62" width="16.140625" style="112" hidden="1" customWidth="1"/>
    <col min="63" max="63" width="17" style="112" hidden="1" customWidth="1"/>
    <col min="64" max="64" width="16.5703125" style="112" hidden="1" customWidth="1"/>
    <col min="65" max="65" width="17.85546875" style="112" hidden="1" customWidth="1"/>
    <col min="66" max="66" width="17.42578125" style="112" hidden="1" customWidth="1"/>
    <col min="67" max="67" width="16.85546875" style="112" hidden="1" customWidth="1"/>
    <col min="68" max="68" width="16.42578125" style="112" hidden="1" customWidth="1"/>
    <col min="69" max="69" width="17.5703125" style="112" hidden="1" customWidth="1"/>
    <col min="70" max="71" width="16.5703125" style="112" hidden="1" customWidth="1"/>
    <col min="72" max="72" width="16.140625" style="112" hidden="1" customWidth="1"/>
    <col min="73" max="73" width="18.42578125" style="112" hidden="1" customWidth="1"/>
    <col min="74" max="74" width="16.42578125" style="112" hidden="1" customWidth="1"/>
    <col min="75" max="76" width="16.5703125" style="112" hidden="1" customWidth="1"/>
    <col min="77" max="77" width="18.28515625" style="112" hidden="1" customWidth="1"/>
    <col min="78" max="78" width="18" style="112" hidden="1" customWidth="1"/>
    <col min="79" max="80" width="18.42578125" style="112" hidden="1" customWidth="1"/>
    <col min="81" max="83" width="16.5703125" style="112" hidden="1" customWidth="1"/>
    <col min="84" max="84" width="19.85546875" style="116" hidden="1" customWidth="1"/>
    <col min="85" max="85" width="17.42578125" style="340" hidden="1" customWidth="1"/>
    <col min="86" max="123" width="11.5703125" style="112" hidden="1" customWidth="1"/>
    <col min="124" max="124" width="19.5703125" style="112" customWidth="1"/>
    <col min="125" max="126" width="11.42578125" style="112" customWidth="1"/>
    <col min="127" max="127" width="11.7109375" style="112" customWidth="1"/>
    <col min="128" max="244" width="11.42578125" style="112" customWidth="1"/>
    <col min="245" max="245" width="7.85546875" style="112" customWidth="1"/>
    <col min="246" max="247" width="11.42578125" style="112" customWidth="1"/>
    <col min="248" max="248" width="12.42578125" style="112" customWidth="1"/>
    <col min="249" max="249" width="6.28515625" style="112" customWidth="1"/>
    <col min="250" max="250" width="11" style="112" customWidth="1"/>
    <col min="251" max="255" width="11.5703125" style="112" hidden="1" customWidth="1"/>
    <col min="256" max="256" width="7.5703125" style="112" customWidth="1"/>
    <col min="257" max="257" width="15.28515625" style="112" customWidth="1"/>
    <col min="258" max="258" width="11.42578125" style="112" customWidth="1"/>
    <col min="259" max="264" width="11.5703125" style="112" hidden="1" customWidth="1"/>
    <col min="265" max="265" width="18.140625" style="112" customWidth="1"/>
    <col min="266" max="266" width="14.85546875" style="112" customWidth="1"/>
    <col min="267" max="267" width="14.28515625" style="112" customWidth="1"/>
    <col min="268" max="268" width="3.5703125" style="112" customWidth="1"/>
    <col min="269" max="269" width="12.42578125" style="112" customWidth="1"/>
    <col min="270" max="270" width="14" style="112" customWidth="1"/>
    <col min="271" max="272" width="18.140625" style="112" customWidth="1"/>
    <col min="273" max="273" width="13.42578125" style="112" customWidth="1"/>
    <col min="274" max="274" width="18.140625" style="112" customWidth="1"/>
    <col min="275" max="278" width="11.42578125" style="112" customWidth="1"/>
    <col min="279" max="281" width="12.28515625" style="112" customWidth="1"/>
    <col min="282" max="282" width="12" style="112" customWidth="1"/>
    <col min="283" max="283" width="11.42578125" style="112" customWidth="1"/>
    <col min="284" max="285" width="12.28515625" style="112" customWidth="1"/>
    <col min="286" max="286" width="13.140625" style="112" customWidth="1"/>
    <col min="287" max="287" width="13.5703125" style="112" customWidth="1"/>
    <col min="288" max="288" width="17.28515625" style="112" customWidth="1"/>
    <col min="289" max="289" width="13.85546875" style="112" customWidth="1"/>
    <col min="290" max="290" width="13.140625" style="112" customWidth="1"/>
    <col min="291" max="291" width="14.42578125" style="112" customWidth="1"/>
    <col min="292" max="293" width="13.5703125" style="112" customWidth="1"/>
    <col min="294" max="295" width="13.140625" style="112" customWidth="1"/>
    <col min="296" max="296" width="13.85546875" style="112" customWidth="1"/>
    <col min="297" max="297" width="13.5703125" style="112" customWidth="1"/>
    <col min="298" max="298" width="17.28515625" style="112" customWidth="1"/>
    <col min="299" max="299" width="13.85546875" style="112" customWidth="1"/>
    <col min="300" max="300" width="13.5703125" style="112" customWidth="1"/>
    <col min="301" max="301" width="13.85546875" style="112" customWidth="1"/>
    <col min="302" max="302" width="13.5703125" style="112" customWidth="1"/>
    <col min="303" max="303" width="17" style="112" customWidth="1"/>
    <col min="304" max="304" width="13.5703125" style="112" customWidth="1"/>
    <col min="305" max="305" width="17.85546875" style="112" customWidth="1"/>
    <col min="306" max="309" width="13.5703125" style="112" customWidth="1"/>
    <col min="310" max="310" width="14.28515625" style="112" customWidth="1"/>
    <col min="311" max="311" width="14.5703125" style="112" customWidth="1"/>
    <col min="312" max="312" width="14.28515625" style="112" customWidth="1"/>
    <col min="313" max="313" width="14.5703125" style="112" customWidth="1"/>
    <col min="314" max="314" width="14.28515625" style="112" customWidth="1"/>
    <col min="315" max="318" width="14.5703125" style="112" customWidth="1"/>
    <col min="319" max="320" width="14.28515625" style="112" customWidth="1"/>
    <col min="321" max="500" width="11.42578125" style="112" customWidth="1"/>
    <col min="501" max="501" width="7.85546875" style="112" customWidth="1"/>
    <col min="502" max="503" width="11.42578125" style="112" customWidth="1"/>
    <col min="504" max="504" width="12.42578125" style="112" customWidth="1"/>
    <col min="505" max="505" width="6.28515625" style="112" customWidth="1"/>
    <col min="506" max="506" width="11" style="112" customWidth="1"/>
    <col min="507" max="511" width="11.5703125" style="112" hidden="1" customWidth="1"/>
    <col min="512" max="512" width="7.5703125" style="112" customWidth="1"/>
    <col min="513" max="513" width="15.28515625" style="112" customWidth="1"/>
    <col min="514" max="514" width="11.42578125" style="112" customWidth="1"/>
    <col min="515" max="520" width="11.5703125" style="112" hidden="1" customWidth="1"/>
    <col min="521" max="521" width="18.140625" style="112" customWidth="1"/>
    <col min="522" max="522" width="14.85546875" style="112" customWidth="1"/>
    <col min="523" max="523" width="14.28515625" style="112" customWidth="1"/>
    <col min="524" max="524" width="3.5703125" style="112" customWidth="1"/>
    <col min="525" max="525" width="12.42578125" style="112" customWidth="1"/>
    <col min="526" max="526" width="14" style="112" customWidth="1"/>
    <col min="527" max="528" width="18.140625" style="112" customWidth="1"/>
    <col min="529" max="529" width="13.42578125" style="112" customWidth="1"/>
    <col min="530" max="530" width="18.140625" style="112" customWidth="1"/>
    <col min="531" max="534" width="11.42578125" style="112" customWidth="1"/>
    <col min="535" max="537" width="12.28515625" style="112" customWidth="1"/>
    <col min="538" max="538" width="12" style="112" customWidth="1"/>
    <col min="539" max="539" width="11.42578125" style="112" customWidth="1"/>
    <col min="540" max="541" width="12.28515625" style="112" customWidth="1"/>
    <col min="542" max="542" width="13.140625" style="112" customWidth="1"/>
    <col min="543" max="543" width="13.5703125" style="112" customWidth="1"/>
    <col min="544" max="544" width="17.28515625" style="112" customWidth="1"/>
    <col min="545" max="545" width="13.85546875" style="112" customWidth="1"/>
    <col min="546" max="546" width="13.140625" style="112" customWidth="1"/>
    <col min="547" max="547" width="14.42578125" style="112" customWidth="1"/>
    <col min="548" max="549" width="13.5703125" style="112" customWidth="1"/>
    <col min="550" max="551" width="13.140625" style="112" customWidth="1"/>
    <col min="552" max="552" width="13.85546875" style="112" customWidth="1"/>
    <col min="553" max="553" width="13.5703125" style="112" customWidth="1"/>
    <col min="554" max="554" width="17.28515625" style="112" customWidth="1"/>
    <col min="555" max="555" width="13.85546875" style="112" customWidth="1"/>
    <col min="556" max="556" width="13.5703125" style="112" customWidth="1"/>
    <col min="557" max="557" width="13.85546875" style="112" customWidth="1"/>
    <col min="558" max="558" width="13.5703125" style="112" customWidth="1"/>
    <col min="559" max="559" width="17" style="112" customWidth="1"/>
    <col min="560" max="560" width="13.5703125" style="112" customWidth="1"/>
    <col min="561" max="561" width="17.85546875" style="112" customWidth="1"/>
    <col min="562" max="565" width="13.5703125" style="112" customWidth="1"/>
    <col min="566" max="566" width="14.28515625" style="112" customWidth="1"/>
    <col min="567" max="567" width="14.5703125" style="112" customWidth="1"/>
    <col min="568" max="568" width="14.28515625" style="112" customWidth="1"/>
    <col min="569" max="569" width="14.5703125" style="112" customWidth="1"/>
    <col min="570" max="570" width="14.28515625" style="112" customWidth="1"/>
    <col min="571" max="574" width="14.5703125" style="112" customWidth="1"/>
    <col min="575" max="576" width="14.28515625" style="112" customWidth="1"/>
    <col min="577" max="756" width="11.42578125" style="112" customWidth="1"/>
    <col min="757" max="757" width="7.85546875" style="112" customWidth="1"/>
    <col min="758" max="759" width="11.42578125" style="112" customWidth="1"/>
    <col min="760" max="760" width="12.42578125" style="112" customWidth="1"/>
    <col min="761" max="761" width="6.28515625" style="112" customWidth="1"/>
    <col min="762" max="762" width="11" style="112" customWidth="1"/>
    <col min="763" max="767" width="11.5703125" style="112" hidden="1" customWidth="1"/>
    <col min="768" max="768" width="7.5703125" style="112" customWidth="1"/>
    <col min="769" max="769" width="15.28515625" style="112" customWidth="1"/>
    <col min="770" max="770" width="11.42578125" style="112" customWidth="1"/>
    <col min="771" max="776" width="11.5703125" style="112" hidden="1" customWidth="1"/>
    <col min="777" max="777" width="18.140625" style="112" customWidth="1"/>
    <col min="778" max="778" width="14.85546875" style="112" customWidth="1"/>
    <col min="779" max="779" width="14.28515625" style="112" customWidth="1"/>
    <col min="780" max="780" width="3.5703125" style="112" customWidth="1"/>
    <col min="781" max="781" width="12.42578125" style="112" customWidth="1"/>
    <col min="782" max="782" width="14" style="112" customWidth="1"/>
    <col min="783" max="784" width="18.140625" style="112" customWidth="1"/>
    <col min="785" max="785" width="13.42578125" style="112" customWidth="1"/>
    <col min="786" max="786" width="18.140625" style="112" customWidth="1"/>
    <col min="787" max="790" width="11.42578125" style="112" customWidth="1"/>
    <col min="791" max="793" width="12.28515625" style="112" customWidth="1"/>
    <col min="794" max="794" width="12" style="112" customWidth="1"/>
    <col min="795" max="795" width="11.42578125" style="112" customWidth="1"/>
    <col min="796" max="797" width="12.28515625" style="112" customWidth="1"/>
    <col min="798" max="798" width="13.140625" style="112" customWidth="1"/>
    <col min="799" max="799" width="13.5703125" style="112" customWidth="1"/>
    <col min="800" max="800" width="17.28515625" style="112" customWidth="1"/>
    <col min="801" max="801" width="13.85546875" style="112" customWidth="1"/>
    <col min="802" max="802" width="13.140625" style="112" customWidth="1"/>
    <col min="803" max="803" width="14.42578125" style="112" customWidth="1"/>
    <col min="804" max="805" width="13.5703125" style="112" customWidth="1"/>
    <col min="806" max="807" width="13.140625" style="112" customWidth="1"/>
    <col min="808" max="808" width="13.85546875" style="112" customWidth="1"/>
    <col min="809" max="809" width="13.5703125" style="112" customWidth="1"/>
    <col min="810" max="810" width="17.28515625" style="112" customWidth="1"/>
    <col min="811" max="811" width="13.85546875" style="112" customWidth="1"/>
    <col min="812" max="812" width="13.5703125" style="112" customWidth="1"/>
    <col min="813" max="813" width="13.85546875" style="112" customWidth="1"/>
    <col min="814" max="814" width="13.5703125" style="112" customWidth="1"/>
    <col min="815" max="815" width="17" style="112" customWidth="1"/>
    <col min="816" max="816" width="13.5703125" style="112" customWidth="1"/>
    <col min="817" max="817" width="17.85546875" style="112" customWidth="1"/>
    <col min="818" max="821" width="13.5703125" style="112" customWidth="1"/>
    <col min="822" max="822" width="14.28515625" style="112" customWidth="1"/>
    <col min="823" max="823" width="14.5703125" style="112" customWidth="1"/>
    <col min="824" max="824" width="14.28515625" style="112" customWidth="1"/>
    <col min="825" max="825" width="14.5703125" style="112" customWidth="1"/>
    <col min="826" max="826" width="14.28515625" style="112" customWidth="1"/>
    <col min="827" max="830" width="14.5703125" style="112" customWidth="1"/>
    <col min="831" max="832" width="14.28515625" style="112" customWidth="1"/>
    <col min="833" max="1012" width="11.42578125" style="112" customWidth="1"/>
    <col min="1013" max="1013" width="7.85546875" style="112" customWidth="1"/>
    <col min="1014" max="1015" width="11.42578125" style="112" customWidth="1"/>
    <col min="1016" max="1016" width="12.42578125" style="112" customWidth="1"/>
    <col min="1017" max="1017" width="6.28515625" style="112" customWidth="1"/>
    <col min="1018" max="1018" width="11" style="112" customWidth="1"/>
    <col min="1019" max="1023" width="11.5703125" style="112" hidden="1" customWidth="1"/>
    <col min="1024" max="1024" width="7.5703125" style="112" customWidth="1"/>
    <col min="1025" max="1025" width="15.28515625" style="112" customWidth="1"/>
    <col min="1026" max="1026" width="11.42578125" style="112" customWidth="1"/>
    <col min="1027" max="1032" width="11.5703125" style="112" hidden="1" customWidth="1"/>
    <col min="1033" max="1033" width="18.140625" style="112" customWidth="1"/>
    <col min="1034" max="1034" width="14.85546875" style="112" customWidth="1"/>
    <col min="1035" max="1035" width="14.28515625" style="112" customWidth="1"/>
    <col min="1036" max="1036" width="3.5703125" style="112" customWidth="1"/>
    <col min="1037" max="1037" width="12.42578125" style="112" customWidth="1"/>
    <col min="1038" max="1038" width="14" style="112" customWidth="1"/>
    <col min="1039" max="1040" width="18.140625" style="112" customWidth="1"/>
    <col min="1041" max="1041" width="13.42578125" style="112" customWidth="1"/>
    <col min="1042" max="1042" width="18.140625" style="112" customWidth="1"/>
    <col min="1043" max="1046" width="11.42578125" style="112" customWidth="1"/>
    <col min="1047" max="1049" width="12.28515625" style="112" customWidth="1"/>
    <col min="1050" max="1050" width="12" style="112" customWidth="1"/>
    <col min="1051" max="1051" width="11.42578125" style="112" customWidth="1"/>
    <col min="1052" max="1053" width="12.28515625" style="112" customWidth="1"/>
    <col min="1054" max="1054" width="13.140625" style="112" customWidth="1"/>
    <col min="1055" max="1055" width="13.5703125" style="112" customWidth="1"/>
    <col min="1056" max="1056" width="17.28515625" style="112" customWidth="1"/>
    <col min="1057" max="1057" width="13.85546875" style="112" customWidth="1"/>
    <col min="1058" max="1058" width="13.140625" style="112" customWidth="1"/>
    <col min="1059" max="1059" width="14.42578125" style="112" customWidth="1"/>
    <col min="1060" max="1061" width="13.5703125" style="112" customWidth="1"/>
    <col min="1062" max="1063" width="13.140625" style="112" customWidth="1"/>
    <col min="1064" max="1064" width="13.85546875" style="112" customWidth="1"/>
    <col min="1065" max="1065" width="13.5703125" style="112" customWidth="1"/>
    <col min="1066" max="1066" width="17.28515625" style="112" customWidth="1"/>
    <col min="1067" max="1067" width="13.85546875" style="112" customWidth="1"/>
    <col min="1068" max="1068" width="13.5703125" style="112" customWidth="1"/>
    <col min="1069" max="1069" width="13.85546875" style="112" customWidth="1"/>
    <col min="1070" max="1070" width="13.5703125" style="112" customWidth="1"/>
    <col min="1071" max="1071" width="17" style="112" customWidth="1"/>
    <col min="1072" max="1072" width="13.5703125" style="112" customWidth="1"/>
    <col min="1073" max="1073" width="17.85546875" style="112" customWidth="1"/>
    <col min="1074" max="1077" width="13.5703125" style="112" customWidth="1"/>
    <col min="1078" max="1078" width="14.28515625" style="112" customWidth="1"/>
    <col min="1079" max="1079" width="14.5703125" style="112" customWidth="1"/>
    <col min="1080" max="1080" width="14.28515625" style="112" customWidth="1"/>
    <col min="1081" max="1081" width="14.5703125" style="112" customWidth="1"/>
    <col min="1082" max="1082" width="14.28515625" style="112" customWidth="1"/>
    <col min="1083" max="1086" width="14.5703125" style="112" customWidth="1"/>
    <col min="1087" max="1088" width="14.28515625" style="112" customWidth="1"/>
    <col min="1089" max="1268" width="11.42578125" style="112" customWidth="1"/>
    <col min="1269" max="1269" width="7.85546875" style="112" customWidth="1"/>
    <col min="1270" max="1271" width="11.42578125" style="112" customWidth="1"/>
    <col min="1272" max="1272" width="12.42578125" style="112" customWidth="1"/>
    <col min="1273" max="1273" width="6.28515625" style="112" customWidth="1"/>
    <col min="1274" max="1274" width="11" style="112" customWidth="1"/>
    <col min="1275" max="1279" width="11.5703125" style="112" hidden="1" customWidth="1"/>
    <col min="1280" max="1280" width="7.5703125" style="112" customWidth="1"/>
    <col min="1281" max="1281" width="15.28515625" style="112" customWidth="1"/>
    <col min="1282" max="1282" width="11.42578125" style="112" customWidth="1"/>
    <col min="1283" max="1288" width="11.5703125" style="112" hidden="1" customWidth="1"/>
    <col min="1289" max="1289" width="18.140625" style="112" customWidth="1"/>
    <col min="1290" max="1290" width="14.85546875" style="112" customWidth="1"/>
    <col min="1291" max="1291" width="14.28515625" style="112" customWidth="1"/>
    <col min="1292" max="1292" width="3.5703125" style="112" customWidth="1"/>
    <col min="1293" max="1293" width="12.42578125" style="112" customWidth="1"/>
    <col min="1294" max="1294" width="14" style="112" customWidth="1"/>
    <col min="1295" max="1296" width="18.140625" style="112" customWidth="1"/>
    <col min="1297" max="1297" width="13.42578125" style="112" customWidth="1"/>
    <col min="1298" max="1298" width="18.140625" style="112" customWidth="1"/>
    <col min="1299" max="1302" width="11.42578125" style="112" customWidth="1"/>
    <col min="1303" max="1305" width="12.28515625" style="112" customWidth="1"/>
    <col min="1306" max="1306" width="12" style="112" customWidth="1"/>
    <col min="1307" max="1307" width="11.42578125" style="112" customWidth="1"/>
    <col min="1308" max="1309" width="12.28515625" style="112" customWidth="1"/>
    <col min="1310" max="1310" width="13.140625" style="112" customWidth="1"/>
    <col min="1311" max="1311" width="13.5703125" style="112" customWidth="1"/>
    <col min="1312" max="1312" width="17.28515625" style="112" customWidth="1"/>
    <col min="1313" max="1313" width="13.85546875" style="112" customWidth="1"/>
    <col min="1314" max="1314" width="13.140625" style="112" customWidth="1"/>
    <col min="1315" max="1315" width="14.42578125" style="112" customWidth="1"/>
    <col min="1316" max="1317" width="13.5703125" style="112" customWidth="1"/>
    <col min="1318" max="1319" width="13.140625" style="112" customWidth="1"/>
    <col min="1320" max="1320" width="13.85546875" style="112" customWidth="1"/>
    <col min="1321" max="1321" width="13.5703125" style="112" customWidth="1"/>
    <col min="1322" max="1322" width="17.28515625" style="112" customWidth="1"/>
    <col min="1323" max="1323" width="13.85546875" style="112" customWidth="1"/>
    <col min="1324" max="1324" width="13.5703125" style="112" customWidth="1"/>
    <col min="1325" max="1325" width="13.85546875" style="112" customWidth="1"/>
    <col min="1326" max="1326" width="13.5703125" style="112" customWidth="1"/>
    <col min="1327" max="1327" width="17" style="112" customWidth="1"/>
    <col min="1328" max="1328" width="13.5703125" style="112" customWidth="1"/>
    <col min="1329" max="1329" width="17.85546875" style="112" customWidth="1"/>
    <col min="1330" max="1333" width="13.5703125" style="112" customWidth="1"/>
    <col min="1334" max="1334" width="14.28515625" style="112" customWidth="1"/>
    <col min="1335" max="1335" width="14.5703125" style="112" customWidth="1"/>
    <col min="1336" max="1336" width="14.28515625" style="112" customWidth="1"/>
    <col min="1337" max="1337" width="14.5703125" style="112" customWidth="1"/>
    <col min="1338" max="1338" width="14.28515625" style="112" customWidth="1"/>
    <col min="1339" max="1342" width="14.5703125" style="112" customWidth="1"/>
    <col min="1343" max="1344" width="14.28515625" style="112" customWidth="1"/>
    <col min="1345" max="1524" width="11.42578125" style="112" customWidth="1"/>
    <col min="1525" max="1525" width="7.85546875" style="112" customWidth="1"/>
    <col min="1526" max="1527" width="11.42578125" style="112" customWidth="1"/>
    <col min="1528" max="1528" width="12.42578125" style="112" customWidth="1"/>
    <col min="1529" max="1529" width="6.28515625" style="112" customWidth="1"/>
    <col min="1530" max="1530" width="11" style="112" customWidth="1"/>
    <col min="1531" max="1535" width="11.5703125" style="112" hidden="1" customWidth="1"/>
    <col min="1536" max="1536" width="7.5703125" style="112" customWidth="1"/>
    <col min="1537" max="1537" width="15.28515625" style="112" customWidth="1"/>
    <col min="1538" max="1538" width="11.42578125" style="112" customWidth="1"/>
    <col min="1539" max="1544" width="11.5703125" style="112" hidden="1" customWidth="1"/>
    <col min="1545" max="1545" width="18.140625" style="112" customWidth="1"/>
    <col min="1546" max="1546" width="14.85546875" style="112" customWidth="1"/>
    <col min="1547" max="1547" width="14.28515625" style="112" customWidth="1"/>
    <col min="1548" max="1548" width="3.5703125" style="112" customWidth="1"/>
    <col min="1549" max="1549" width="12.42578125" style="112" customWidth="1"/>
    <col min="1550" max="1550" width="14" style="112" customWidth="1"/>
    <col min="1551" max="1552" width="18.140625" style="112" customWidth="1"/>
    <col min="1553" max="1553" width="13.42578125" style="112" customWidth="1"/>
    <col min="1554" max="1554" width="18.140625" style="112" customWidth="1"/>
    <col min="1555" max="1558" width="11.42578125" style="112" customWidth="1"/>
    <col min="1559" max="1561" width="12.28515625" style="112" customWidth="1"/>
    <col min="1562" max="1562" width="12" style="112" customWidth="1"/>
    <col min="1563" max="1563" width="11.42578125" style="112" customWidth="1"/>
    <col min="1564" max="1565" width="12.28515625" style="112" customWidth="1"/>
    <col min="1566" max="1566" width="13.140625" style="112" customWidth="1"/>
    <col min="1567" max="1567" width="13.5703125" style="112" customWidth="1"/>
    <col min="1568" max="1568" width="17.28515625" style="112" customWidth="1"/>
    <col min="1569" max="1569" width="13.85546875" style="112" customWidth="1"/>
    <col min="1570" max="1570" width="13.140625" style="112" customWidth="1"/>
    <col min="1571" max="1571" width="14.42578125" style="112" customWidth="1"/>
    <col min="1572" max="1573" width="13.5703125" style="112" customWidth="1"/>
    <col min="1574" max="1575" width="13.140625" style="112" customWidth="1"/>
    <col min="1576" max="1576" width="13.85546875" style="112" customWidth="1"/>
    <col min="1577" max="1577" width="13.5703125" style="112" customWidth="1"/>
    <col min="1578" max="1578" width="17.28515625" style="112" customWidth="1"/>
    <col min="1579" max="1579" width="13.85546875" style="112" customWidth="1"/>
    <col min="1580" max="1580" width="13.5703125" style="112" customWidth="1"/>
    <col min="1581" max="1581" width="13.85546875" style="112" customWidth="1"/>
    <col min="1582" max="1582" width="13.5703125" style="112" customWidth="1"/>
    <col min="1583" max="1583" width="17" style="112" customWidth="1"/>
    <col min="1584" max="1584" width="13.5703125" style="112" customWidth="1"/>
    <col min="1585" max="1585" width="17.85546875" style="112" customWidth="1"/>
    <col min="1586" max="1589" width="13.5703125" style="112" customWidth="1"/>
    <col min="1590" max="1590" width="14.28515625" style="112" customWidth="1"/>
    <col min="1591" max="1591" width="14.5703125" style="112" customWidth="1"/>
    <col min="1592" max="1592" width="14.28515625" style="112" customWidth="1"/>
    <col min="1593" max="1593" width="14.5703125" style="112" customWidth="1"/>
    <col min="1594" max="1594" width="14.28515625" style="112" customWidth="1"/>
    <col min="1595" max="1598" width="14.5703125" style="112" customWidth="1"/>
    <col min="1599" max="1600" width="14.28515625" style="112" customWidth="1"/>
    <col min="1601" max="1780" width="11.42578125" style="112" customWidth="1"/>
    <col min="1781" max="1781" width="7.85546875" style="112" customWidth="1"/>
    <col min="1782" max="1783" width="11.42578125" style="112" customWidth="1"/>
    <col min="1784" max="1784" width="12.42578125" style="112" customWidth="1"/>
    <col min="1785" max="1785" width="6.28515625" style="112" customWidth="1"/>
    <col min="1786" max="1786" width="11" style="112" customWidth="1"/>
    <col min="1787" max="1791" width="11.5703125" style="112" hidden="1" customWidth="1"/>
    <col min="1792" max="1792" width="7.5703125" style="112" customWidth="1"/>
    <col min="1793" max="1793" width="15.28515625" style="112" customWidth="1"/>
    <col min="1794" max="1794" width="11.42578125" style="112" customWidth="1"/>
    <col min="1795" max="1800" width="11.5703125" style="112" hidden="1" customWidth="1"/>
    <col min="1801" max="1801" width="18.140625" style="112" customWidth="1"/>
    <col min="1802" max="1802" width="14.85546875" style="112" customWidth="1"/>
    <col min="1803" max="1803" width="14.28515625" style="112" customWidth="1"/>
    <col min="1804" max="1804" width="3.5703125" style="112" customWidth="1"/>
    <col min="1805" max="1805" width="12.42578125" style="112" customWidth="1"/>
    <col min="1806" max="1806" width="14" style="112" customWidth="1"/>
    <col min="1807" max="1808" width="18.140625" style="112" customWidth="1"/>
    <col min="1809" max="1809" width="13.42578125" style="112" customWidth="1"/>
    <col min="1810" max="1810" width="18.140625" style="112" customWidth="1"/>
    <col min="1811" max="1814" width="11.42578125" style="112" customWidth="1"/>
    <col min="1815" max="1817" width="12.28515625" style="112" customWidth="1"/>
    <col min="1818" max="1818" width="12" style="112" customWidth="1"/>
    <col min="1819" max="1819" width="11.42578125" style="112" customWidth="1"/>
    <col min="1820" max="1821" width="12.28515625" style="112" customWidth="1"/>
    <col min="1822" max="1822" width="13.140625" style="112" customWidth="1"/>
    <col min="1823" max="1823" width="13.5703125" style="112" customWidth="1"/>
    <col min="1824" max="1824" width="17.28515625" style="112" customWidth="1"/>
    <col min="1825" max="1825" width="13.85546875" style="112" customWidth="1"/>
    <col min="1826" max="1826" width="13.140625" style="112" customWidth="1"/>
    <col min="1827" max="1827" width="14.42578125" style="112" customWidth="1"/>
    <col min="1828" max="1829" width="13.5703125" style="112" customWidth="1"/>
    <col min="1830" max="1831" width="13.140625" style="112" customWidth="1"/>
    <col min="1832" max="1832" width="13.85546875" style="112" customWidth="1"/>
    <col min="1833" max="1833" width="13.5703125" style="112" customWidth="1"/>
    <col min="1834" max="1834" width="17.28515625" style="112" customWidth="1"/>
    <col min="1835" max="1835" width="13.85546875" style="112" customWidth="1"/>
    <col min="1836" max="1836" width="13.5703125" style="112" customWidth="1"/>
    <col min="1837" max="1837" width="13.85546875" style="112" customWidth="1"/>
    <col min="1838" max="1838" width="13.5703125" style="112" customWidth="1"/>
    <col min="1839" max="1839" width="17" style="112" customWidth="1"/>
    <col min="1840" max="1840" width="13.5703125" style="112" customWidth="1"/>
    <col min="1841" max="1841" width="17.85546875" style="112" customWidth="1"/>
    <col min="1842" max="1845" width="13.5703125" style="112" customWidth="1"/>
    <col min="1846" max="1846" width="14.28515625" style="112" customWidth="1"/>
    <col min="1847" max="1847" width="14.5703125" style="112" customWidth="1"/>
    <col min="1848" max="1848" width="14.28515625" style="112" customWidth="1"/>
    <col min="1849" max="1849" width="14.5703125" style="112" customWidth="1"/>
    <col min="1850" max="1850" width="14.28515625" style="112" customWidth="1"/>
    <col min="1851" max="1854" width="14.5703125" style="112" customWidth="1"/>
    <col min="1855" max="1856" width="14.28515625" style="112" customWidth="1"/>
    <col min="1857" max="2036" width="11.42578125" style="112" customWidth="1"/>
    <col min="2037" max="2037" width="7.85546875" style="112" customWidth="1"/>
    <col min="2038" max="2039" width="11.42578125" style="112" customWidth="1"/>
    <col min="2040" max="2040" width="12.42578125" style="112" customWidth="1"/>
    <col min="2041" max="2041" width="6.28515625" style="112" customWidth="1"/>
    <col min="2042" max="2042" width="11" style="112" customWidth="1"/>
    <col min="2043" max="2047" width="11.5703125" style="112" hidden="1" customWidth="1"/>
    <col min="2048" max="2048" width="7.5703125" style="112" customWidth="1"/>
    <col min="2049" max="2049" width="15.28515625" style="112" customWidth="1"/>
    <col min="2050" max="2050" width="11.42578125" style="112" customWidth="1"/>
    <col min="2051" max="2056" width="11.5703125" style="112" hidden="1" customWidth="1"/>
    <col min="2057" max="2057" width="18.140625" style="112" customWidth="1"/>
    <col min="2058" max="2058" width="14.85546875" style="112" customWidth="1"/>
    <col min="2059" max="2059" width="14.28515625" style="112" customWidth="1"/>
    <col min="2060" max="2060" width="3.5703125" style="112" customWidth="1"/>
    <col min="2061" max="2061" width="12.42578125" style="112" customWidth="1"/>
    <col min="2062" max="2062" width="14" style="112" customWidth="1"/>
    <col min="2063" max="2064" width="18.140625" style="112" customWidth="1"/>
    <col min="2065" max="2065" width="13.42578125" style="112" customWidth="1"/>
    <col min="2066" max="2066" width="18.140625" style="112" customWidth="1"/>
    <col min="2067" max="2070" width="11.42578125" style="112" customWidth="1"/>
    <col min="2071" max="2073" width="12.28515625" style="112" customWidth="1"/>
    <col min="2074" max="2074" width="12" style="112" customWidth="1"/>
    <col min="2075" max="2075" width="11.42578125" style="112" customWidth="1"/>
    <col min="2076" max="2077" width="12.28515625" style="112" customWidth="1"/>
    <col min="2078" max="2078" width="13.140625" style="112" customWidth="1"/>
    <col min="2079" max="2079" width="13.5703125" style="112" customWidth="1"/>
    <col min="2080" max="2080" width="17.28515625" style="112" customWidth="1"/>
    <col min="2081" max="2081" width="13.85546875" style="112" customWidth="1"/>
    <col min="2082" max="2082" width="13.140625" style="112" customWidth="1"/>
    <col min="2083" max="2083" width="14.42578125" style="112" customWidth="1"/>
    <col min="2084" max="2085" width="13.5703125" style="112" customWidth="1"/>
    <col min="2086" max="2087" width="13.140625" style="112" customWidth="1"/>
    <col min="2088" max="2088" width="13.85546875" style="112" customWidth="1"/>
    <col min="2089" max="2089" width="13.5703125" style="112" customWidth="1"/>
    <col min="2090" max="2090" width="17.28515625" style="112" customWidth="1"/>
    <col min="2091" max="2091" width="13.85546875" style="112" customWidth="1"/>
    <col min="2092" max="2092" width="13.5703125" style="112" customWidth="1"/>
    <col min="2093" max="2093" width="13.85546875" style="112" customWidth="1"/>
    <col min="2094" max="2094" width="13.5703125" style="112" customWidth="1"/>
    <col min="2095" max="2095" width="17" style="112" customWidth="1"/>
    <col min="2096" max="2096" width="13.5703125" style="112" customWidth="1"/>
    <col min="2097" max="2097" width="17.85546875" style="112" customWidth="1"/>
    <col min="2098" max="2101" width="13.5703125" style="112" customWidth="1"/>
    <col min="2102" max="2102" width="14.28515625" style="112" customWidth="1"/>
    <col min="2103" max="2103" width="14.5703125" style="112" customWidth="1"/>
    <col min="2104" max="2104" width="14.28515625" style="112" customWidth="1"/>
    <col min="2105" max="2105" width="14.5703125" style="112" customWidth="1"/>
    <col min="2106" max="2106" width="14.28515625" style="112" customWidth="1"/>
    <col min="2107" max="2110" width="14.5703125" style="112" customWidth="1"/>
    <col min="2111" max="2112" width="14.28515625" style="112" customWidth="1"/>
    <col min="2113" max="2292" width="11.42578125" style="112" customWidth="1"/>
    <col min="2293" max="2293" width="7.85546875" style="112" customWidth="1"/>
    <col min="2294" max="2295" width="11.42578125" style="112" customWidth="1"/>
    <col min="2296" max="2296" width="12.42578125" style="112" customWidth="1"/>
    <col min="2297" max="2297" width="6.28515625" style="112" customWidth="1"/>
    <col min="2298" max="2298" width="11" style="112" customWidth="1"/>
    <col min="2299" max="2303" width="11.5703125" style="112" hidden="1" customWidth="1"/>
    <col min="2304" max="2304" width="7.5703125" style="112" customWidth="1"/>
    <col min="2305" max="2305" width="15.28515625" style="112" customWidth="1"/>
    <col min="2306" max="2306" width="11.42578125" style="112" customWidth="1"/>
    <col min="2307" max="2312" width="11.5703125" style="112" hidden="1" customWidth="1"/>
    <col min="2313" max="2313" width="18.140625" style="112" customWidth="1"/>
    <col min="2314" max="2314" width="14.85546875" style="112" customWidth="1"/>
    <col min="2315" max="2315" width="14.28515625" style="112" customWidth="1"/>
    <col min="2316" max="2316" width="3.5703125" style="112" customWidth="1"/>
    <col min="2317" max="2317" width="12.42578125" style="112" customWidth="1"/>
    <col min="2318" max="2318" width="14" style="112" customWidth="1"/>
    <col min="2319" max="2320" width="18.140625" style="112" customWidth="1"/>
    <col min="2321" max="2321" width="13.42578125" style="112" customWidth="1"/>
    <col min="2322" max="2322" width="18.140625" style="112" customWidth="1"/>
    <col min="2323" max="2326" width="11.42578125" style="112" customWidth="1"/>
    <col min="2327" max="2329" width="12.28515625" style="112" customWidth="1"/>
    <col min="2330" max="2330" width="12" style="112" customWidth="1"/>
    <col min="2331" max="2331" width="11.42578125" style="112" customWidth="1"/>
    <col min="2332" max="2333" width="12.28515625" style="112" customWidth="1"/>
    <col min="2334" max="2334" width="13.140625" style="112" customWidth="1"/>
    <col min="2335" max="2335" width="13.5703125" style="112" customWidth="1"/>
    <col min="2336" max="2336" width="17.28515625" style="112" customWidth="1"/>
    <col min="2337" max="2337" width="13.85546875" style="112" customWidth="1"/>
    <col min="2338" max="2338" width="13.140625" style="112" customWidth="1"/>
    <col min="2339" max="2339" width="14.42578125" style="112" customWidth="1"/>
    <col min="2340" max="2341" width="13.5703125" style="112" customWidth="1"/>
    <col min="2342" max="2343" width="13.140625" style="112" customWidth="1"/>
    <col min="2344" max="2344" width="13.85546875" style="112" customWidth="1"/>
    <col min="2345" max="2345" width="13.5703125" style="112" customWidth="1"/>
    <col min="2346" max="2346" width="17.28515625" style="112" customWidth="1"/>
    <col min="2347" max="2347" width="13.85546875" style="112" customWidth="1"/>
    <col min="2348" max="2348" width="13.5703125" style="112" customWidth="1"/>
    <col min="2349" max="2349" width="13.85546875" style="112" customWidth="1"/>
    <col min="2350" max="2350" width="13.5703125" style="112" customWidth="1"/>
    <col min="2351" max="2351" width="17" style="112" customWidth="1"/>
    <col min="2352" max="2352" width="13.5703125" style="112" customWidth="1"/>
    <col min="2353" max="2353" width="17.85546875" style="112" customWidth="1"/>
    <col min="2354" max="2357" width="13.5703125" style="112" customWidth="1"/>
    <col min="2358" max="2358" width="14.28515625" style="112" customWidth="1"/>
    <col min="2359" max="2359" width="14.5703125" style="112" customWidth="1"/>
    <col min="2360" max="2360" width="14.28515625" style="112" customWidth="1"/>
    <col min="2361" max="2361" width="14.5703125" style="112" customWidth="1"/>
    <col min="2362" max="2362" width="14.28515625" style="112" customWidth="1"/>
    <col min="2363" max="2366" width="14.5703125" style="112" customWidth="1"/>
    <col min="2367" max="2368" width="14.28515625" style="112" customWidth="1"/>
    <col min="2369" max="2548" width="11.42578125" style="112" customWidth="1"/>
    <col min="2549" max="2549" width="7.85546875" style="112" customWidth="1"/>
    <col min="2550" max="2551" width="11.42578125" style="112" customWidth="1"/>
    <col min="2552" max="2552" width="12.42578125" style="112" customWidth="1"/>
    <col min="2553" max="2553" width="6.28515625" style="112" customWidth="1"/>
    <col min="2554" max="2554" width="11" style="112" customWidth="1"/>
    <col min="2555" max="2559" width="11.5703125" style="112" hidden="1" customWidth="1"/>
    <col min="2560" max="2560" width="7.5703125" style="112" customWidth="1"/>
    <col min="2561" max="2561" width="15.28515625" style="112" customWidth="1"/>
    <col min="2562" max="2562" width="11.42578125" style="112" customWidth="1"/>
    <col min="2563" max="2568" width="11.5703125" style="112" hidden="1" customWidth="1"/>
    <col min="2569" max="2569" width="18.140625" style="112" customWidth="1"/>
    <col min="2570" max="2570" width="14.85546875" style="112" customWidth="1"/>
    <col min="2571" max="2571" width="14.28515625" style="112" customWidth="1"/>
    <col min="2572" max="2572" width="3.5703125" style="112" customWidth="1"/>
    <col min="2573" max="2573" width="12.42578125" style="112" customWidth="1"/>
    <col min="2574" max="2574" width="14" style="112" customWidth="1"/>
    <col min="2575" max="2576" width="18.140625" style="112" customWidth="1"/>
    <col min="2577" max="2577" width="13.42578125" style="112" customWidth="1"/>
    <col min="2578" max="2578" width="18.140625" style="112" customWidth="1"/>
    <col min="2579" max="2582" width="11.42578125" style="112" customWidth="1"/>
    <col min="2583" max="2585" width="12.28515625" style="112" customWidth="1"/>
    <col min="2586" max="2586" width="12" style="112" customWidth="1"/>
    <col min="2587" max="2587" width="11.42578125" style="112" customWidth="1"/>
    <col min="2588" max="2589" width="12.28515625" style="112" customWidth="1"/>
    <col min="2590" max="2590" width="13.140625" style="112" customWidth="1"/>
    <col min="2591" max="2591" width="13.5703125" style="112" customWidth="1"/>
    <col min="2592" max="2592" width="17.28515625" style="112" customWidth="1"/>
    <col min="2593" max="2593" width="13.85546875" style="112" customWidth="1"/>
    <col min="2594" max="2594" width="13.140625" style="112" customWidth="1"/>
    <col min="2595" max="2595" width="14.42578125" style="112" customWidth="1"/>
    <col min="2596" max="2597" width="13.5703125" style="112" customWidth="1"/>
    <col min="2598" max="2599" width="13.140625" style="112" customWidth="1"/>
    <col min="2600" max="2600" width="13.85546875" style="112" customWidth="1"/>
    <col min="2601" max="2601" width="13.5703125" style="112" customWidth="1"/>
    <col min="2602" max="2602" width="17.28515625" style="112" customWidth="1"/>
    <col min="2603" max="2603" width="13.85546875" style="112" customWidth="1"/>
    <col min="2604" max="2604" width="13.5703125" style="112" customWidth="1"/>
    <col min="2605" max="2605" width="13.85546875" style="112" customWidth="1"/>
    <col min="2606" max="2606" width="13.5703125" style="112" customWidth="1"/>
    <col min="2607" max="2607" width="17" style="112" customWidth="1"/>
    <col min="2608" max="2608" width="13.5703125" style="112" customWidth="1"/>
    <col min="2609" max="2609" width="17.85546875" style="112" customWidth="1"/>
    <col min="2610" max="2613" width="13.5703125" style="112" customWidth="1"/>
    <col min="2614" max="2614" width="14.28515625" style="112" customWidth="1"/>
    <col min="2615" max="2615" width="14.5703125" style="112" customWidth="1"/>
    <col min="2616" max="2616" width="14.28515625" style="112" customWidth="1"/>
    <col min="2617" max="2617" width="14.5703125" style="112" customWidth="1"/>
    <col min="2618" max="2618" width="14.28515625" style="112" customWidth="1"/>
    <col min="2619" max="2622" width="14.5703125" style="112" customWidth="1"/>
    <col min="2623" max="2624" width="14.28515625" style="112" customWidth="1"/>
    <col min="2625" max="2804" width="11.42578125" style="112" customWidth="1"/>
    <col min="2805" max="2805" width="7.85546875" style="112" customWidth="1"/>
    <col min="2806" max="2807" width="11.42578125" style="112" customWidth="1"/>
    <col min="2808" max="2808" width="12.42578125" style="112" customWidth="1"/>
    <col min="2809" max="2809" width="6.28515625" style="112" customWidth="1"/>
    <col min="2810" max="2810" width="11" style="112" customWidth="1"/>
    <col min="2811" max="2815" width="11.5703125" style="112" hidden="1" customWidth="1"/>
    <col min="2816" max="2816" width="7.5703125" style="112" customWidth="1"/>
    <col min="2817" max="2817" width="15.28515625" style="112" customWidth="1"/>
    <col min="2818" max="2818" width="11.42578125" style="112" customWidth="1"/>
    <col min="2819" max="2824" width="11.5703125" style="112" hidden="1" customWidth="1"/>
    <col min="2825" max="2825" width="18.140625" style="112" customWidth="1"/>
    <col min="2826" max="2826" width="14.85546875" style="112" customWidth="1"/>
    <col min="2827" max="2827" width="14.28515625" style="112" customWidth="1"/>
    <col min="2828" max="2828" width="3.5703125" style="112" customWidth="1"/>
    <col min="2829" max="2829" width="12.42578125" style="112" customWidth="1"/>
    <col min="2830" max="2830" width="14" style="112" customWidth="1"/>
    <col min="2831" max="2832" width="18.140625" style="112" customWidth="1"/>
    <col min="2833" max="2833" width="13.42578125" style="112" customWidth="1"/>
    <col min="2834" max="2834" width="18.140625" style="112" customWidth="1"/>
    <col min="2835" max="2838" width="11.42578125" style="112" customWidth="1"/>
    <col min="2839" max="2841" width="12.28515625" style="112" customWidth="1"/>
    <col min="2842" max="2842" width="12" style="112" customWidth="1"/>
    <col min="2843" max="2843" width="11.42578125" style="112" customWidth="1"/>
    <col min="2844" max="2845" width="12.28515625" style="112" customWidth="1"/>
    <col min="2846" max="2846" width="13.140625" style="112" customWidth="1"/>
    <col min="2847" max="2847" width="13.5703125" style="112" customWidth="1"/>
    <col min="2848" max="2848" width="17.28515625" style="112" customWidth="1"/>
    <col min="2849" max="2849" width="13.85546875" style="112" customWidth="1"/>
    <col min="2850" max="2850" width="13.140625" style="112" customWidth="1"/>
    <col min="2851" max="2851" width="14.42578125" style="112" customWidth="1"/>
    <col min="2852" max="2853" width="13.5703125" style="112" customWidth="1"/>
    <col min="2854" max="2855" width="13.140625" style="112" customWidth="1"/>
    <col min="2856" max="2856" width="13.85546875" style="112" customWidth="1"/>
    <col min="2857" max="2857" width="13.5703125" style="112" customWidth="1"/>
    <col min="2858" max="2858" width="17.28515625" style="112" customWidth="1"/>
    <col min="2859" max="2859" width="13.85546875" style="112" customWidth="1"/>
    <col min="2860" max="2860" width="13.5703125" style="112" customWidth="1"/>
    <col min="2861" max="2861" width="13.85546875" style="112" customWidth="1"/>
    <col min="2862" max="2862" width="13.5703125" style="112" customWidth="1"/>
    <col min="2863" max="2863" width="17" style="112" customWidth="1"/>
    <col min="2864" max="2864" width="13.5703125" style="112" customWidth="1"/>
    <col min="2865" max="2865" width="17.85546875" style="112" customWidth="1"/>
    <col min="2866" max="2869" width="13.5703125" style="112" customWidth="1"/>
    <col min="2870" max="2870" width="14.28515625" style="112" customWidth="1"/>
    <col min="2871" max="2871" width="14.5703125" style="112" customWidth="1"/>
    <col min="2872" max="2872" width="14.28515625" style="112" customWidth="1"/>
    <col min="2873" max="2873" width="14.5703125" style="112" customWidth="1"/>
    <col min="2874" max="2874" width="14.28515625" style="112" customWidth="1"/>
    <col min="2875" max="2878" width="14.5703125" style="112" customWidth="1"/>
    <col min="2879" max="2880" width="14.28515625" style="112" customWidth="1"/>
    <col min="2881" max="3060" width="11.42578125" style="112" customWidth="1"/>
    <col min="3061" max="3061" width="7.85546875" style="112" customWidth="1"/>
    <col min="3062" max="3063" width="11.42578125" style="112" customWidth="1"/>
    <col min="3064" max="3064" width="12.42578125" style="112" customWidth="1"/>
    <col min="3065" max="3065" width="6.28515625" style="112" customWidth="1"/>
    <col min="3066" max="3066" width="11" style="112" customWidth="1"/>
    <col min="3067" max="3071" width="11.5703125" style="112" hidden="1" customWidth="1"/>
    <col min="3072" max="3072" width="7.5703125" style="112" customWidth="1"/>
    <col min="3073" max="3073" width="15.28515625" style="112" customWidth="1"/>
    <col min="3074" max="3074" width="11.42578125" style="112" customWidth="1"/>
    <col min="3075" max="3080" width="11.5703125" style="112" hidden="1" customWidth="1"/>
    <col min="3081" max="3081" width="18.140625" style="112" customWidth="1"/>
    <col min="3082" max="3082" width="14.85546875" style="112" customWidth="1"/>
    <col min="3083" max="3083" width="14.28515625" style="112" customWidth="1"/>
    <col min="3084" max="3084" width="3.5703125" style="112" customWidth="1"/>
    <col min="3085" max="3085" width="12.42578125" style="112" customWidth="1"/>
    <col min="3086" max="3086" width="14" style="112" customWidth="1"/>
    <col min="3087" max="3088" width="18.140625" style="112" customWidth="1"/>
    <col min="3089" max="3089" width="13.42578125" style="112" customWidth="1"/>
    <col min="3090" max="3090" width="18.140625" style="112" customWidth="1"/>
    <col min="3091" max="3094" width="11.42578125" style="112" customWidth="1"/>
    <col min="3095" max="3097" width="12.28515625" style="112" customWidth="1"/>
    <col min="3098" max="3098" width="12" style="112" customWidth="1"/>
    <col min="3099" max="3099" width="11.42578125" style="112" customWidth="1"/>
    <col min="3100" max="3101" width="12.28515625" style="112" customWidth="1"/>
    <col min="3102" max="3102" width="13.140625" style="112" customWidth="1"/>
    <col min="3103" max="3103" width="13.5703125" style="112" customWidth="1"/>
    <col min="3104" max="3104" width="17.28515625" style="112" customWidth="1"/>
    <col min="3105" max="3105" width="13.85546875" style="112" customWidth="1"/>
    <col min="3106" max="3106" width="13.140625" style="112" customWidth="1"/>
    <col min="3107" max="3107" width="14.42578125" style="112" customWidth="1"/>
    <col min="3108" max="3109" width="13.5703125" style="112" customWidth="1"/>
    <col min="3110" max="3111" width="13.140625" style="112" customWidth="1"/>
    <col min="3112" max="3112" width="13.85546875" style="112" customWidth="1"/>
    <col min="3113" max="3113" width="13.5703125" style="112" customWidth="1"/>
    <col min="3114" max="3114" width="17.28515625" style="112" customWidth="1"/>
    <col min="3115" max="3115" width="13.85546875" style="112" customWidth="1"/>
    <col min="3116" max="3116" width="13.5703125" style="112" customWidth="1"/>
    <col min="3117" max="3117" width="13.85546875" style="112" customWidth="1"/>
    <col min="3118" max="3118" width="13.5703125" style="112" customWidth="1"/>
    <col min="3119" max="3119" width="17" style="112" customWidth="1"/>
    <col min="3120" max="3120" width="13.5703125" style="112" customWidth="1"/>
    <col min="3121" max="3121" width="17.85546875" style="112" customWidth="1"/>
    <col min="3122" max="3125" width="13.5703125" style="112" customWidth="1"/>
    <col min="3126" max="3126" width="14.28515625" style="112" customWidth="1"/>
    <col min="3127" max="3127" width="14.5703125" style="112" customWidth="1"/>
    <col min="3128" max="3128" width="14.28515625" style="112" customWidth="1"/>
    <col min="3129" max="3129" width="14.5703125" style="112" customWidth="1"/>
    <col min="3130" max="3130" width="14.28515625" style="112" customWidth="1"/>
    <col min="3131" max="3134" width="14.5703125" style="112" customWidth="1"/>
    <col min="3135" max="3136" width="14.28515625" style="112" customWidth="1"/>
    <col min="3137" max="3316" width="11.42578125" style="112" customWidth="1"/>
    <col min="3317" max="3317" width="7.85546875" style="112" customWidth="1"/>
    <col min="3318" max="3319" width="11.42578125" style="112" customWidth="1"/>
    <col min="3320" max="3320" width="12.42578125" style="112" customWidth="1"/>
    <col min="3321" max="3321" width="6.28515625" style="112" customWidth="1"/>
    <col min="3322" max="3322" width="11" style="112" customWidth="1"/>
    <col min="3323" max="3327" width="11.5703125" style="112" hidden="1" customWidth="1"/>
    <col min="3328" max="3328" width="7.5703125" style="112" customWidth="1"/>
    <col min="3329" max="3329" width="15.28515625" style="112" customWidth="1"/>
    <col min="3330" max="3330" width="11.42578125" style="112" customWidth="1"/>
    <col min="3331" max="3336" width="11.5703125" style="112" hidden="1" customWidth="1"/>
    <col min="3337" max="3337" width="18.140625" style="112" customWidth="1"/>
    <col min="3338" max="3338" width="14.85546875" style="112" customWidth="1"/>
    <col min="3339" max="3339" width="14.28515625" style="112" customWidth="1"/>
    <col min="3340" max="3340" width="3.5703125" style="112" customWidth="1"/>
    <col min="3341" max="3341" width="12.42578125" style="112" customWidth="1"/>
    <col min="3342" max="3342" width="14" style="112" customWidth="1"/>
    <col min="3343" max="3344" width="18.140625" style="112" customWidth="1"/>
    <col min="3345" max="3345" width="13.42578125" style="112" customWidth="1"/>
    <col min="3346" max="3346" width="18.140625" style="112" customWidth="1"/>
    <col min="3347" max="3350" width="11.42578125" style="112" customWidth="1"/>
    <col min="3351" max="3353" width="12.28515625" style="112" customWidth="1"/>
    <col min="3354" max="3354" width="12" style="112" customWidth="1"/>
    <col min="3355" max="3355" width="11.42578125" style="112" customWidth="1"/>
    <col min="3356" max="3357" width="12.28515625" style="112" customWidth="1"/>
    <col min="3358" max="3358" width="13.140625" style="112" customWidth="1"/>
    <col min="3359" max="3359" width="13.5703125" style="112" customWidth="1"/>
    <col min="3360" max="3360" width="17.28515625" style="112" customWidth="1"/>
    <col min="3361" max="3361" width="13.85546875" style="112" customWidth="1"/>
    <col min="3362" max="3362" width="13.140625" style="112" customWidth="1"/>
    <col min="3363" max="3363" width="14.42578125" style="112" customWidth="1"/>
    <col min="3364" max="3365" width="13.5703125" style="112" customWidth="1"/>
    <col min="3366" max="3367" width="13.140625" style="112" customWidth="1"/>
    <col min="3368" max="3368" width="13.85546875" style="112" customWidth="1"/>
    <col min="3369" max="3369" width="13.5703125" style="112" customWidth="1"/>
    <col min="3370" max="3370" width="17.28515625" style="112" customWidth="1"/>
    <col min="3371" max="3371" width="13.85546875" style="112" customWidth="1"/>
    <col min="3372" max="3372" width="13.5703125" style="112" customWidth="1"/>
    <col min="3373" max="3373" width="13.85546875" style="112" customWidth="1"/>
    <col min="3374" max="3374" width="13.5703125" style="112" customWidth="1"/>
    <col min="3375" max="3375" width="17" style="112" customWidth="1"/>
    <col min="3376" max="3376" width="13.5703125" style="112" customWidth="1"/>
    <col min="3377" max="3377" width="17.85546875" style="112" customWidth="1"/>
    <col min="3378" max="3381" width="13.5703125" style="112" customWidth="1"/>
    <col min="3382" max="3382" width="14.28515625" style="112" customWidth="1"/>
    <col min="3383" max="3383" width="14.5703125" style="112" customWidth="1"/>
    <col min="3384" max="3384" width="14.28515625" style="112" customWidth="1"/>
    <col min="3385" max="3385" width="14.5703125" style="112" customWidth="1"/>
    <col min="3386" max="3386" width="14.28515625" style="112" customWidth="1"/>
    <col min="3387" max="3390" width="14.5703125" style="112" customWidth="1"/>
    <col min="3391" max="3392" width="14.28515625" style="112" customWidth="1"/>
    <col min="3393" max="3572" width="11.42578125" style="112" customWidth="1"/>
    <col min="3573" max="3573" width="7.85546875" style="112" customWidth="1"/>
    <col min="3574" max="3575" width="11.42578125" style="112" customWidth="1"/>
    <col min="3576" max="3576" width="12.42578125" style="112" customWidth="1"/>
    <col min="3577" max="3577" width="6.28515625" style="112" customWidth="1"/>
    <col min="3578" max="3578" width="11" style="112" customWidth="1"/>
    <col min="3579" max="3583" width="11.5703125" style="112" hidden="1" customWidth="1"/>
    <col min="3584" max="3584" width="7.5703125" style="112" customWidth="1"/>
    <col min="3585" max="3585" width="15.28515625" style="112" customWidth="1"/>
    <col min="3586" max="3586" width="11.42578125" style="112" customWidth="1"/>
    <col min="3587" max="3592" width="11.5703125" style="112" hidden="1" customWidth="1"/>
    <col min="3593" max="3593" width="18.140625" style="112" customWidth="1"/>
    <col min="3594" max="3594" width="14.85546875" style="112" customWidth="1"/>
    <col min="3595" max="3595" width="14.28515625" style="112" customWidth="1"/>
    <col min="3596" max="3596" width="3.5703125" style="112" customWidth="1"/>
    <col min="3597" max="3597" width="12.42578125" style="112" customWidth="1"/>
    <col min="3598" max="3598" width="14" style="112" customWidth="1"/>
    <col min="3599" max="3600" width="18.140625" style="112" customWidth="1"/>
    <col min="3601" max="3601" width="13.42578125" style="112" customWidth="1"/>
    <col min="3602" max="3602" width="18.140625" style="112" customWidth="1"/>
    <col min="3603" max="3606" width="11.42578125" style="112" customWidth="1"/>
    <col min="3607" max="3609" width="12.28515625" style="112" customWidth="1"/>
    <col min="3610" max="3610" width="12" style="112" customWidth="1"/>
    <col min="3611" max="3611" width="11.42578125" style="112" customWidth="1"/>
    <col min="3612" max="3613" width="12.28515625" style="112" customWidth="1"/>
    <col min="3614" max="3614" width="13.140625" style="112" customWidth="1"/>
    <col min="3615" max="3615" width="13.5703125" style="112" customWidth="1"/>
    <col min="3616" max="3616" width="17.28515625" style="112" customWidth="1"/>
    <col min="3617" max="3617" width="13.85546875" style="112" customWidth="1"/>
    <col min="3618" max="3618" width="13.140625" style="112" customWidth="1"/>
    <col min="3619" max="3619" width="14.42578125" style="112" customWidth="1"/>
    <col min="3620" max="3621" width="13.5703125" style="112" customWidth="1"/>
    <col min="3622" max="3623" width="13.140625" style="112" customWidth="1"/>
    <col min="3624" max="3624" width="13.85546875" style="112" customWidth="1"/>
    <col min="3625" max="3625" width="13.5703125" style="112" customWidth="1"/>
    <col min="3626" max="3626" width="17.28515625" style="112" customWidth="1"/>
    <col min="3627" max="3627" width="13.85546875" style="112" customWidth="1"/>
    <col min="3628" max="3628" width="13.5703125" style="112" customWidth="1"/>
    <col min="3629" max="3629" width="13.85546875" style="112" customWidth="1"/>
    <col min="3630" max="3630" width="13.5703125" style="112" customWidth="1"/>
    <col min="3631" max="3631" width="17" style="112" customWidth="1"/>
    <col min="3632" max="3632" width="13.5703125" style="112" customWidth="1"/>
    <col min="3633" max="3633" width="17.85546875" style="112" customWidth="1"/>
    <col min="3634" max="3637" width="13.5703125" style="112" customWidth="1"/>
    <col min="3638" max="3638" width="14.28515625" style="112" customWidth="1"/>
    <col min="3639" max="3639" width="14.5703125" style="112" customWidth="1"/>
    <col min="3640" max="3640" width="14.28515625" style="112" customWidth="1"/>
    <col min="3641" max="3641" width="14.5703125" style="112" customWidth="1"/>
    <col min="3642" max="3642" width="14.28515625" style="112" customWidth="1"/>
    <col min="3643" max="3646" width="14.5703125" style="112" customWidth="1"/>
    <col min="3647" max="3648" width="14.28515625" style="112" customWidth="1"/>
    <col min="3649" max="3828" width="11.42578125" style="112" customWidth="1"/>
    <col min="3829" max="3829" width="7.85546875" style="112" customWidth="1"/>
    <col min="3830" max="3831" width="11.42578125" style="112" customWidth="1"/>
    <col min="3832" max="3832" width="12.42578125" style="112" customWidth="1"/>
    <col min="3833" max="3833" width="6.28515625" style="112" customWidth="1"/>
    <col min="3834" max="3834" width="11" style="112" customWidth="1"/>
    <col min="3835" max="3839" width="11.5703125" style="112" hidden="1" customWidth="1"/>
    <col min="3840" max="3840" width="7.5703125" style="112" customWidth="1"/>
    <col min="3841" max="3841" width="15.28515625" style="112" customWidth="1"/>
    <col min="3842" max="3842" width="11.42578125" style="112" customWidth="1"/>
    <col min="3843" max="3848" width="11.5703125" style="112" hidden="1" customWidth="1"/>
    <col min="3849" max="3849" width="18.140625" style="112" customWidth="1"/>
    <col min="3850" max="3850" width="14.85546875" style="112" customWidth="1"/>
    <col min="3851" max="3851" width="14.28515625" style="112" customWidth="1"/>
    <col min="3852" max="3852" width="3.5703125" style="112" customWidth="1"/>
    <col min="3853" max="3853" width="12.42578125" style="112" customWidth="1"/>
    <col min="3854" max="3854" width="14" style="112" customWidth="1"/>
    <col min="3855" max="3856" width="18.140625" style="112" customWidth="1"/>
    <col min="3857" max="3857" width="13.42578125" style="112" customWidth="1"/>
    <col min="3858" max="3858" width="18.140625" style="112" customWidth="1"/>
    <col min="3859" max="3862" width="11.42578125" style="112" customWidth="1"/>
    <col min="3863" max="3865" width="12.28515625" style="112" customWidth="1"/>
    <col min="3866" max="3866" width="12" style="112" customWidth="1"/>
    <col min="3867" max="3867" width="11.42578125" style="112" customWidth="1"/>
    <col min="3868" max="3869" width="12.28515625" style="112" customWidth="1"/>
    <col min="3870" max="3870" width="13.140625" style="112" customWidth="1"/>
    <col min="3871" max="3871" width="13.5703125" style="112" customWidth="1"/>
    <col min="3872" max="3872" width="17.28515625" style="112" customWidth="1"/>
    <col min="3873" max="3873" width="13.85546875" style="112" customWidth="1"/>
    <col min="3874" max="3874" width="13.140625" style="112" customWidth="1"/>
    <col min="3875" max="3875" width="14.42578125" style="112" customWidth="1"/>
    <col min="3876" max="3877" width="13.5703125" style="112" customWidth="1"/>
    <col min="3878" max="3879" width="13.140625" style="112" customWidth="1"/>
    <col min="3880" max="3880" width="13.85546875" style="112" customWidth="1"/>
    <col min="3881" max="3881" width="13.5703125" style="112" customWidth="1"/>
    <col min="3882" max="3882" width="17.28515625" style="112" customWidth="1"/>
    <col min="3883" max="3883" width="13.85546875" style="112" customWidth="1"/>
    <col min="3884" max="3884" width="13.5703125" style="112" customWidth="1"/>
    <col min="3885" max="3885" width="13.85546875" style="112" customWidth="1"/>
    <col min="3886" max="3886" width="13.5703125" style="112" customWidth="1"/>
    <col min="3887" max="3887" width="17" style="112" customWidth="1"/>
    <col min="3888" max="3888" width="13.5703125" style="112" customWidth="1"/>
    <col min="3889" max="3889" width="17.85546875" style="112" customWidth="1"/>
    <col min="3890" max="3893" width="13.5703125" style="112" customWidth="1"/>
    <col min="3894" max="3894" width="14.28515625" style="112" customWidth="1"/>
    <col min="3895" max="3895" width="14.5703125" style="112" customWidth="1"/>
    <col min="3896" max="3896" width="14.28515625" style="112" customWidth="1"/>
    <col min="3897" max="3897" width="14.5703125" style="112" customWidth="1"/>
    <col min="3898" max="3898" width="14.28515625" style="112" customWidth="1"/>
    <col min="3899" max="3902" width="14.5703125" style="112" customWidth="1"/>
    <col min="3903" max="3904" width="14.28515625" style="112" customWidth="1"/>
    <col min="3905" max="4084" width="11.42578125" style="112" customWidth="1"/>
    <col min="4085" max="4085" width="7.85546875" style="112" customWidth="1"/>
    <col min="4086" max="4087" width="11.42578125" style="112" customWidth="1"/>
    <col min="4088" max="4088" width="12.42578125" style="112" customWidth="1"/>
    <col min="4089" max="4089" width="6.28515625" style="112" customWidth="1"/>
    <col min="4090" max="4090" width="11" style="112" customWidth="1"/>
    <col min="4091" max="4095" width="11.5703125" style="112" hidden="1" customWidth="1"/>
    <col min="4096" max="4096" width="7.5703125" style="112" customWidth="1"/>
    <col min="4097" max="4097" width="15.28515625" style="112" customWidth="1"/>
    <col min="4098" max="4098" width="11.42578125" style="112" customWidth="1"/>
    <col min="4099" max="4104" width="11.5703125" style="112" hidden="1" customWidth="1"/>
    <col min="4105" max="4105" width="18.140625" style="112" customWidth="1"/>
    <col min="4106" max="4106" width="14.85546875" style="112" customWidth="1"/>
    <col min="4107" max="4107" width="14.28515625" style="112" customWidth="1"/>
    <col min="4108" max="4108" width="3.5703125" style="112" customWidth="1"/>
    <col min="4109" max="4109" width="12.42578125" style="112" customWidth="1"/>
    <col min="4110" max="4110" width="14" style="112" customWidth="1"/>
    <col min="4111" max="4112" width="18.140625" style="112" customWidth="1"/>
    <col min="4113" max="4113" width="13.42578125" style="112" customWidth="1"/>
    <col min="4114" max="4114" width="18.140625" style="112" customWidth="1"/>
    <col min="4115" max="4118" width="11.42578125" style="112" customWidth="1"/>
    <col min="4119" max="4121" width="12.28515625" style="112" customWidth="1"/>
    <col min="4122" max="4122" width="12" style="112" customWidth="1"/>
    <col min="4123" max="4123" width="11.42578125" style="112" customWidth="1"/>
    <col min="4124" max="4125" width="12.28515625" style="112" customWidth="1"/>
    <col min="4126" max="4126" width="13.140625" style="112" customWidth="1"/>
    <col min="4127" max="4127" width="13.5703125" style="112" customWidth="1"/>
    <col min="4128" max="4128" width="17.28515625" style="112" customWidth="1"/>
    <col min="4129" max="4129" width="13.85546875" style="112" customWidth="1"/>
    <col min="4130" max="4130" width="13.140625" style="112" customWidth="1"/>
    <col min="4131" max="4131" width="14.42578125" style="112" customWidth="1"/>
    <col min="4132" max="4133" width="13.5703125" style="112" customWidth="1"/>
    <col min="4134" max="4135" width="13.140625" style="112" customWidth="1"/>
    <col min="4136" max="4136" width="13.85546875" style="112" customWidth="1"/>
    <col min="4137" max="4137" width="13.5703125" style="112" customWidth="1"/>
    <col min="4138" max="4138" width="17.28515625" style="112" customWidth="1"/>
    <col min="4139" max="4139" width="13.85546875" style="112" customWidth="1"/>
    <col min="4140" max="4140" width="13.5703125" style="112" customWidth="1"/>
    <col min="4141" max="4141" width="13.85546875" style="112" customWidth="1"/>
    <col min="4142" max="4142" width="13.5703125" style="112" customWidth="1"/>
    <col min="4143" max="4143" width="17" style="112" customWidth="1"/>
    <col min="4144" max="4144" width="13.5703125" style="112" customWidth="1"/>
    <col min="4145" max="4145" width="17.85546875" style="112" customWidth="1"/>
    <col min="4146" max="4149" width="13.5703125" style="112" customWidth="1"/>
    <col min="4150" max="4150" width="14.28515625" style="112" customWidth="1"/>
    <col min="4151" max="4151" width="14.5703125" style="112" customWidth="1"/>
    <col min="4152" max="4152" width="14.28515625" style="112" customWidth="1"/>
    <col min="4153" max="4153" width="14.5703125" style="112" customWidth="1"/>
    <col min="4154" max="4154" width="14.28515625" style="112" customWidth="1"/>
    <col min="4155" max="4158" width="14.5703125" style="112" customWidth="1"/>
    <col min="4159" max="4160" width="14.28515625" style="112" customWidth="1"/>
    <col min="4161" max="4340" width="11.42578125" style="112" customWidth="1"/>
    <col min="4341" max="4341" width="7.85546875" style="112" customWidth="1"/>
    <col min="4342" max="4343" width="11.42578125" style="112" customWidth="1"/>
    <col min="4344" max="4344" width="12.42578125" style="112" customWidth="1"/>
    <col min="4345" max="4345" width="6.28515625" style="112" customWidth="1"/>
    <col min="4346" max="4346" width="11" style="112" customWidth="1"/>
    <col min="4347" max="4351" width="11.5703125" style="112" hidden="1" customWidth="1"/>
    <col min="4352" max="4352" width="7.5703125" style="112" customWidth="1"/>
    <col min="4353" max="4353" width="15.28515625" style="112" customWidth="1"/>
    <col min="4354" max="4354" width="11.42578125" style="112" customWidth="1"/>
    <col min="4355" max="4360" width="11.5703125" style="112" hidden="1" customWidth="1"/>
    <col min="4361" max="4361" width="18.140625" style="112" customWidth="1"/>
    <col min="4362" max="4362" width="14.85546875" style="112" customWidth="1"/>
    <col min="4363" max="4363" width="14.28515625" style="112" customWidth="1"/>
    <col min="4364" max="4364" width="3.5703125" style="112" customWidth="1"/>
    <col min="4365" max="4365" width="12.42578125" style="112" customWidth="1"/>
    <col min="4366" max="4366" width="14" style="112" customWidth="1"/>
    <col min="4367" max="4368" width="18.140625" style="112" customWidth="1"/>
    <col min="4369" max="4369" width="13.42578125" style="112" customWidth="1"/>
    <col min="4370" max="4370" width="18.140625" style="112" customWidth="1"/>
    <col min="4371" max="4374" width="11.42578125" style="112" customWidth="1"/>
    <col min="4375" max="4377" width="12.28515625" style="112" customWidth="1"/>
    <col min="4378" max="4378" width="12" style="112" customWidth="1"/>
    <col min="4379" max="4379" width="11.42578125" style="112" customWidth="1"/>
    <col min="4380" max="4381" width="12.28515625" style="112" customWidth="1"/>
    <col min="4382" max="4382" width="13.140625" style="112" customWidth="1"/>
    <col min="4383" max="4383" width="13.5703125" style="112" customWidth="1"/>
    <col min="4384" max="4384" width="17.28515625" style="112" customWidth="1"/>
    <col min="4385" max="4385" width="13.85546875" style="112" customWidth="1"/>
    <col min="4386" max="4386" width="13.140625" style="112" customWidth="1"/>
    <col min="4387" max="4387" width="14.42578125" style="112" customWidth="1"/>
    <col min="4388" max="4389" width="13.5703125" style="112" customWidth="1"/>
    <col min="4390" max="4391" width="13.140625" style="112" customWidth="1"/>
    <col min="4392" max="4392" width="13.85546875" style="112" customWidth="1"/>
    <col min="4393" max="4393" width="13.5703125" style="112" customWidth="1"/>
    <col min="4394" max="4394" width="17.28515625" style="112" customWidth="1"/>
    <col min="4395" max="4395" width="13.85546875" style="112" customWidth="1"/>
    <col min="4396" max="4396" width="13.5703125" style="112" customWidth="1"/>
    <col min="4397" max="4397" width="13.85546875" style="112" customWidth="1"/>
    <col min="4398" max="4398" width="13.5703125" style="112" customWidth="1"/>
    <col min="4399" max="4399" width="17" style="112" customWidth="1"/>
    <col min="4400" max="4400" width="13.5703125" style="112" customWidth="1"/>
    <col min="4401" max="4401" width="17.85546875" style="112" customWidth="1"/>
    <col min="4402" max="4405" width="13.5703125" style="112" customWidth="1"/>
    <col min="4406" max="4406" width="14.28515625" style="112" customWidth="1"/>
    <col min="4407" max="4407" width="14.5703125" style="112" customWidth="1"/>
    <col min="4408" max="4408" width="14.28515625" style="112" customWidth="1"/>
    <col min="4409" max="4409" width="14.5703125" style="112" customWidth="1"/>
    <col min="4410" max="4410" width="14.28515625" style="112" customWidth="1"/>
    <col min="4411" max="4414" width="14.5703125" style="112" customWidth="1"/>
    <col min="4415" max="4416" width="14.28515625" style="112" customWidth="1"/>
    <col min="4417" max="4596" width="11.42578125" style="112" customWidth="1"/>
    <col min="4597" max="4597" width="7.85546875" style="112" customWidth="1"/>
    <col min="4598" max="4599" width="11.42578125" style="112" customWidth="1"/>
    <col min="4600" max="4600" width="12.42578125" style="112" customWidth="1"/>
    <col min="4601" max="4601" width="6.28515625" style="112" customWidth="1"/>
    <col min="4602" max="4602" width="11" style="112" customWidth="1"/>
    <col min="4603" max="4607" width="11.5703125" style="112" hidden="1" customWidth="1"/>
    <col min="4608" max="4608" width="7.5703125" style="112" customWidth="1"/>
    <col min="4609" max="4609" width="15.28515625" style="112" customWidth="1"/>
    <col min="4610" max="4610" width="11.42578125" style="112" customWidth="1"/>
    <col min="4611" max="4616" width="11.5703125" style="112" hidden="1" customWidth="1"/>
    <col min="4617" max="4617" width="18.140625" style="112" customWidth="1"/>
    <col min="4618" max="4618" width="14.85546875" style="112" customWidth="1"/>
    <col min="4619" max="4619" width="14.28515625" style="112" customWidth="1"/>
    <col min="4620" max="4620" width="3.5703125" style="112" customWidth="1"/>
    <col min="4621" max="4621" width="12.42578125" style="112" customWidth="1"/>
    <col min="4622" max="4622" width="14" style="112" customWidth="1"/>
    <col min="4623" max="4624" width="18.140625" style="112" customWidth="1"/>
    <col min="4625" max="4625" width="13.42578125" style="112" customWidth="1"/>
    <col min="4626" max="4626" width="18.140625" style="112" customWidth="1"/>
    <col min="4627" max="4630" width="11.42578125" style="112" customWidth="1"/>
    <col min="4631" max="4633" width="12.28515625" style="112" customWidth="1"/>
    <col min="4634" max="4634" width="12" style="112" customWidth="1"/>
    <col min="4635" max="4635" width="11.42578125" style="112" customWidth="1"/>
    <col min="4636" max="4637" width="12.28515625" style="112" customWidth="1"/>
    <col min="4638" max="4638" width="13.140625" style="112" customWidth="1"/>
    <col min="4639" max="4639" width="13.5703125" style="112" customWidth="1"/>
    <col min="4640" max="4640" width="17.28515625" style="112" customWidth="1"/>
    <col min="4641" max="4641" width="13.85546875" style="112" customWidth="1"/>
    <col min="4642" max="4642" width="13.140625" style="112" customWidth="1"/>
    <col min="4643" max="4643" width="14.42578125" style="112" customWidth="1"/>
    <col min="4644" max="4645" width="13.5703125" style="112" customWidth="1"/>
    <col min="4646" max="4647" width="13.140625" style="112" customWidth="1"/>
    <col min="4648" max="4648" width="13.85546875" style="112" customWidth="1"/>
    <col min="4649" max="4649" width="13.5703125" style="112" customWidth="1"/>
    <col min="4650" max="4650" width="17.28515625" style="112" customWidth="1"/>
    <col min="4651" max="4651" width="13.85546875" style="112" customWidth="1"/>
    <col min="4652" max="4652" width="13.5703125" style="112" customWidth="1"/>
    <col min="4653" max="4653" width="13.85546875" style="112" customWidth="1"/>
    <col min="4654" max="4654" width="13.5703125" style="112" customWidth="1"/>
    <col min="4655" max="4655" width="17" style="112" customWidth="1"/>
    <col min="4656" max="4656" width="13.5703125" style="112" customWidth="1"/>
    <col min="4657" max="4657" width="17.85546875" style="112" customWidth="1"/>
    <col min="4658" max="4661" width="13.5703125" style="112" customWidth="1"/>
    <col min="4662" max="4662" width="14.28515625" style="112" customWidth="1"/>
    <col min="4663" max="4663" width="14.5703125" style="112" customWidth="1"/>
    <col min="4664" max="4664" width="14.28515625" style="112" customWidth="1"/>
    <col min="4665" max="4665" width="14.5703125" style="112" customWidth="1"/>
    <col min="4666" max="4666" width="14.28515625" style="112" customWidth="1"/>
    <col min="4667" max="4670" width="14.5703125" style="112" customWidth="1"/>
    <col min="4671" max="4672" width="14.28515625" style="112" customWidth="1"/>
    <col min="4673" max="4852" width="11.42578125" style="112" customWidth="1"/>
    <col min="4853" max="4853" width="7.85546875" style="112" customWidth="1"/>
    <col min="4854" max="4855" width="11.42578125" style="112" customWidth="1"/>
    <col min="4856" max="4856" width="12.42578125" style="112" customWidth="1"/>
    <col min="4857" max="4857" width="6.28515625" style="112" customWidth="1"/>
    <col min="4858" max="4858" width="11" style="112" customWidth="1"/>
    <col min="4859" max="4863" width="11.5703125" style="112" hidden="1" customWidth="1"/>
    <col min="4864" max="4864" width="7.5703125" style="112" customWidth="1"/>
    <col min="4865" max="4865" width="15.28515625" style="112" customWidth="1"/>
    <col min="4866" max="4866" width="11.42578125" style="112" customWidth="1"/>
    <col min="4867" max="4872" width="11.5703125" style="112" hidden="1" customWidth="1"/>
    <col min="4873" max="4873" width="18.140625" style="112" customWidth="1"/>
    <col min="4874" max="4874" width="14.85546875" style="112" customWidth="1"/>
    <col min="4875" max="4875" width="14.28515625" style="112" customWidth="1"/>
    <col min="4876" max="4876" width="3.5703125" style="112" customWidth="1"/>
    <col min="4877" max="4877" width="12.42578125" style="112" customWidth="1"/>
    <col min="4878" max="4878" width="14" style="112" customWidth="1"/>
    <col min="4879" max="4880" width="18.140625" style="112" customWidth="1"/>
    <col min="4881" max="4881" width="13.42578125" style="112" customWidth="1"/>
    <col min="4882" max="4882" width="18.140625" style="112" customWidth="1"/>
    <col min="4883" max="4886" width="11.42578125" style="112" customWidth="1"/>
    <col min="4887" max="4889" width="12.28515625" style="112" customWidth="1"/>
    <col min="4890" max="4890" width="12" style="112" customWidth="1"/>
    <col min="4891" max="4891" width="11.42578125" style="112" customWidth="1"/>
    <col min="4892" max="4893" width="12.28515625" style="112" customWidth="1"/>
    <col min="4894" max="4894" width="13.140625" style="112" customWidth="1"/>
    <col min="4895" max="4895" width="13.5703125" style="112" customWidth="1"/>
    <col min="4896" max="4896" width="17.28515625" style="112" customWidth="1"/>
    <col min="4897" max="4897" width="13.85546875" style="112" customWidth="1"/>
    <col min="4898" max="4898" width="13.140625" style="112" customWidth="1"/>
    <col min="4899" max="4899" width="14.42578125" style="112" customWidth="1"/>
    <col min="4900" max="4901" width="13.5703125" style="112" customWidth="1"/>
    <col min="4902" max="4903" width="13.140625" style="112" customWidth="1"/>
    <col min="4904" max="4904" width="13.85546875" style="112" customWidth="1"/>
    <col min="4905" max="4905" width="13.5703125" style="112" customWidth="1"/>
    <col min="4906" max="4906" width="17.28515625" style="112" customWidth="1"/>
    <col min="4907" max="4907" width="13.85546875" style="112" customWidth="1"/>
    <col min="4908" max="4908" width="13.5703125" style="112" customWidth="1"/>
    <col min="4909" max="4909" width="13.85546875" style="112" customWidth="1"/>
    <col min="4910" max="4910" width="13.5703125" style="112" customWidth="1"/>
    <col min="4911" max="4911" width="17" style="112" customWidth="1"/>
    <col min="4912" max="4912" width="13.5703125" style="112" customWidth="1"/>
    <col min="4913" max="4913" width="17.85546875" style="112" customWidth="1"/>
    <col min="4914" max="4917" width="13.5703125" style="112" customWidth="1"/>
    <col min="4918" max="4918" width="14.28515625" style="112" customWidth="1"/>
    <col min="4919" max="4919" width="14.5703125" style="112" customWidth="1"/>
    <col min="4920" max="4920" width="14.28515625" style="112" customWidth="1"/>
    <col min="4921" max="4921" width="14.5703125" style="112" customWidth="1"/>
    <col min="4922" max="4922" width="14.28515625" style="112" customWidth="1"/>
    <col min="4923" max="4926" width="14.5703125" style="112" customWidth="1"/>
    <col min="4927" max="4928" width="14.28515625" style="112" customWidth="1"/>
    <col min="4929" max="5108" width="11.42578125" style="112" customWidth="1"/>
    <col min="5109" max="5109" width="7.85546875" style="112" customWidth="1"/>
    <col min="5110" max="5111" width="11.42578125" style="112" customWidth="1"/>
    <col min="5112" max="5112" width="12.42578125" style="112" customWidth="1"/>
    <col min="5113" max="5113" width="6.28515625" style="112" customWidth="1"/>
    <col min="5114" max="5114" width="11" style="112" customWidth="1"/>
    <col min="5115" max="5119" width="11.5703125" style="112" hidden="1" customWidth="1"/>
    <col min="5120" max="5120" width="7.5703125" style="112" customWidth="1"/>
    <col min="5121" max="5121" width="15.28515625" style="112" customWidth="1"/>
    <col min="5122" max="5122" width="11.42578125" style="112" customWidth="1"/>
    <col min="5123" max="5128" width="11.5703125" style="112" hidden="1" customWidth="1"/>
    <col min="5129" max="5129" width="18.140625" style="112" customWidth="1"/>
    <col min="5130" max="5130" width="14.85546875" style="112" customWidth="1"/>
    <col min="5131" max="5131" width="14.28515625" style="112" customWidth="1"/>
    <col min="5132" max="5132" width="3.5703125" style="112" customWidth="1"/>
    <col min="5133" max="5133" width="12.42578125" style="112" customWidth="1"/>
    <col min="5134" max="5134" width="14" style="112" customWidth="1"/>
    <col min="5135" max="5136" width="18.140625" style="112" customWidth="1"/>
    <col min="5137" max="5137" width="13.42578125" style="112" customWidth="1"/>
    <col min="5138" max="5138" width="18.140625" style="112" customWidth="1"/>
    <col min="5139" max="5142" width="11.42578125" style="112" customWidth="1"/>
    <col min="5143" max="5145" width="12.28515625" style="112" customWidth="1"/>
    <col min="5146" max="5146" width="12" style="112" customWidth="1"/>
    <col min="5147" max="5147" width="11.42578125" style="112" customWidth="1"/>
    <col min="5148" max="5149" width="12.28515625" style="112" customWidth="1"/>
    <col min="5150" max="5150" width="13.140625" style="112" customWidth="1"/>
    <col min="5151" max="5151" width="13.5703125" style="112" customWidth="1"/>
    <col min="5152" max="5152" width="17.28515625" style="112" customWidth="1"/>
    <col min="5153" max="5153" width="13.85546875" style="112" customWidth="1"/>
    <col min="5154" max="5154" width="13.140625" style="112" customWidth="1"/>
    <col min="5155" max="5155" width="14.42578125" style="112" customWidth="1"/>
    <col min="5156" max="5157" width="13.5703125" style="112" customWidth="1"/>
    <col min="5158" max="5159" width="13.140625" style="112" customWidth="1"/>
    <col min="5160" max="5160" width="13.85546875" style="112" customWidth="1"/>
    <col min="5161" max="5161" width="13.5703125" style="112" customWidth="1"/>
    <col min="5162" max="5162" width="17.28515625" style="112" customWidth="1"/>
    <col min="5163" max="5163" width="13.85546875" style="112" customWidth="1"/>
    <col min="5164" max="5164" width="13.5703125" style="112" customWidth="1"/>
    <col min="5165" max="5165" width="13.85546875" style="112" customWidth="1"/>
    <col min="5166" max="5166" width="13.5703125" style="112" customWidth="1"/>
    <col min="5167" max="5167" width="17" style="112" customWidth="1"/>
    <col min="5168" max="5168" width="13.5703125" style="112" customWidth="1"/>
    <col min="5169" max="5169" width="17.85546875" style="112" customWidth="1"/>
    <col min="5170" max="5173" width="13.5703125" style="112" customWidth="1"/>
    <col min="5174" max="5174" width="14.28515625" style="112" customWidth="1"/>
    <col min="5175" max="5175" width="14.5703125" style="112" customWidth="1"/>
    <col min="5176" max="5176" width="14.28515625" style="112" customWidth="1"/>
    <col min="5177" max="5177" width="14.5703125" style="112" customWidth="1"/>
    <col min="5178" max="5178" width="14.28515625" style="112" customWidth="1"/>
    <col min="5179" max="5182" width="14.5703125" style="112" customWidth="1"/>
    <col min="5183" max="5184" width="14.28515625" style="112" customWidth="1"/>
    <col min="5185" max="5364" width="11.42578125" style="112" customWidth="1"/>
    <col min="5365" max="5365" width="7.85546875" style="112" customWidth="1"/>
    <col min="5366" max="5367" width="11.42578125" style="112" customWidth="1"/>
    <col min="5368" max="5368" width="12.42578125" style="112" customWidth="1"/>
    <col min="5369" max="5369" width="6.28515625" style="112" customWidth="1"/>
    <col min="5370" max="5370" width="11" style="112" customWidth="1"/>
    <col min="5371" max="5375" width="11.5703125" style="112" hidden="1" customWidth="1"/>
    <col min="5376" max="5376" width="7.5703125" style="112" customWidth="1"/>
    <col min="5377" max="5377" width="15.28515625" style="112" customWidth="1"/>
    <col min="5378" max="5378" width="11.42578125" style="112" customWidth="1"/>
    <col min="5379" max="5384" width="11.5703125" style="112" hidden="1" customWidth="1"/>
    <col min="5385" max="5385" width="18.140625" style="112" customWidth="1"/>
    <col min="5386" max="5386" width="14.85546875" style="112" customWidth="1"/>
    <col min="5387" max="5387" width="14.28515625" style="112" customWidth="1"/>
    <col min="5388" max="5388" width="3.5703125" style="112" customWidth="1"/>
    <col min="5389" max="5389" width="12.42578125" style="112" customWidth="1"/>
    <col min="5390" max="5390" width="14" style="112" customWidth="1"/>
    <col min="5391" max="5392" width="18.140625" style="112" customWidth="1"/>
    <col min="5393" max="5393" width="13.42578125" style="112" customWidth="1"/>
    <col min="5394" max="5394" width="18.140625" style="112" customWidth="1"/>
    <col min="5395" max="5398" width="11.42578125" style="112" customWidth="1"/>
    <col min="5399" max="5401" width="12.28515625" style="112" customWidth="1"/>
    <col min="5402" max="5402" width="12" style="112" customWidth="1"/>
    <col min="5403" max="5403" width="11.42578125" style="112" customWidth="1"/>
    <col min="5404" max="5405" width="12.28515625" style="112" customWidth="1"/>
    <col min="5406" max="5406" width="13.140625" style="112" customWidth="1"/>
    <col min="5407" max="5407" width="13.5703125" style="112" customWidth="1"/>
    <col min="5408" max="5408" width="17.28515625" style="112" customWidth="1"/>
    <col min="5409" max="5409" width="13.85546875" style="112" customWidth="1"/>
    <col min="5410" max="5410" width="13.140625" style="112" customWidth="1"/>
    <col min="5411" max="5411" width="14.42578125" style="112" customWidth="1"/>
    <col min="5412" max="5413" width="13.5703125" style="112" customWidth="1"/>
    <col min="5414" max="5415" width="13.140625" style="112" customWidth="1"/>
    <col min="5416" max="5416" width="13.85546875" style="112" customWidth="1"/>
    <col min="5417" max="5417" width="13.5703125" style="112" customWidth="1"/>
    <col min="5418" max="5418" width="17.28515625" style="112" customWidth="1"/>
    <col min="5419" max="5419" width="13.85546875" style="112" customWidth="1"/>
    <col min="5420" max="5420" width="13.5703125" style="112" customWidth="1"/>
    <col min="5421" max="5421" width="13.85546875" style="112" customWidth="1"/>
    <col min="5422" max="5422" width="13.5703125" style="112" customWidth="1"/>
    <col min="5423" max="5423" width="17" style="112" customWidth="1"/>
    <col min="5424" max="5424" width="13.5703125" style="112" customWidth="1"/>
    <col min="5425" max="5425" width="17.85546875" style="112" customWidth="1"/>
    <col min="5426" max="5429" width="13.5703125" style="112" customWidth="1"/>
    <col min="5430" max="5430" width="14.28515625" style="112" customWidth="1"/>
    <col min="5431" max="5431" width="14.5703125" style="112" customWidth="1"/>
    <col min="5432" max="5432" width="14.28515625" style="112" customWidth="1"/>
    <col min="5433" max="5433" width="14.5703125" style="112" customWidth="1"/>
    <col min="5434" max="5434" width="14.28515625" style="112" customWidth="1"/>
    <col min="5435" max="5438" width="14.5703125" style="112" customWidth="1"/>
    <col min="5439" max="5440" width="14.28515625" style="112" customWidth="1"/>
    <col min="5441" max="5620" width="11.42578125" style="112" customWidth="1"/>
    <col min="5621" max="5621" width="7.85546875" style="112" customWidth="1"/>
    <col min="5622" max="5623" width="11.42578125" style="112" customWidth="1"/>
    <col min="5624" max="5624" width="12.42578125" style="112" customWidth="1"/>
    <col min="5625" max="5625" width="6.28515625" style="112" customWidth="1"/>
    <col min="5626" max="5626" width="11" style="112" customWidth="1"/>
    <col min="5627" max="5631" width="11.5703125" style="112" hidden="1" customWidth="1"/>
    <col min="5632" max="5632" width="7.5703125" style="112" customWidth="1"/>
    <col min="5633" max="5633" width="15.28515625" style="112" customWidth="1"/>
    <col min="5634" max="5634" width="11.42578125" style="112" customWidth="1"/>
    <col min="5635" max="5640" width="11.5703125" style="112" hidden="1" customWidth="1"/>
    <col min="5641" max="5641" width="18.140625" style="112" customWidth="1"/>
    <col min="5642" max="5642" width="14.85546875" style="112" customWidth="1"/>
    <col min="5643" max="5643" width="14.28515625" style="112" customWidth="1"/>
    <col min="5644" max="5644" width="3.5703125" style="112" customWidth="1"/>
    <col min="5645" max="5645" width="12.42578125" style="112" customWidth="1"/>
    <col min="5646" max="5646" width="14" style="112" customWidth="1"/>
    <col min="5647" max="5648" width="18.140625" style="112" customWidth="1"/>
    <col min="5649" max="5649" width="13.42578125" style="112" customWidth="1"/>
    <col min="5650" max="5650" width="18.140625" style="112" customWidth="1"/>
    <col min="5651" max="5654" width="11.42578125" style="112" customWidth="1"/>
    <col min="5655" max="5657" width="12.28515625" style="112" customWidth="1"/>
    <col min="5658" max="5658" width="12" style="112" customWidth="1"/>
    <col min="5659" max="5659" width="11.42578125" style="112" customWidth="1"/>
    <col min="5660" max="5661" width="12.28515625" style="112" customWidth="1"/>
    <col min="5662" max="5662" width="13.140625" style="112" customWidth="1"/>
    <col min="5663" max="5663" width="13.5703125" style="112" customWidth="1"/>
    <col min="5664" max="5664" width="17.28515625" style="112" customWidth="1"/>
    <col min="5665" max="5665" width="13.85546875" style="112" customWidth="1"/>
    <col min="5666" max="5666" width="13.140625" style="112" customWidth="1"/>
    <col min="5667" max="5667" width="14.42578125" style="112" customWidth="1"/>
    <col min="5668" max="5669" width="13.5703125" style="112" customWidth="1"/>
    <col min="5670" max="5671" width="13.140625" style="112" customWidth="1"/>
    <col min="5672" max="5672" width="13.85546875" style="112" customWidth="1"/>
    <col min="5673" max="5673" width="13.5703125" style="112" customWidth="1"/>
    <col min="5674" max="5674" width="17.28515625" style="112" customWidth="1"/>
    <col min="5675" max="5675" width="13.85546875" style="112" customWidth="1"/>
    <col min="5676" max="5676" width="13.5703125" style="112" customWidth="1"/>
    <col min="5677" max="5677" width="13.85546875" style="112" customWidth="1"/>
    <col min="5678" max="5678" width="13.5703125" style="112" customWidth="1"/>
    <col min="5679" max="5679" width="17" style="112" customWidth="1"/>
    <col min="5680" max="5680" width="13.5703125" style="112" customWidth="1"/>
    <col min="5681" max="5681" width="17.85546875" style="112" customWidth="1"/>
    <col min="5682" max="5685" width="13.5703125" style="112" customWidth="1"/>
    <col min="5686" max="5686" width="14.28515625" style="112" customWidth="1"/>
    <col min="5687" max="5687" width="14.5703125" style="112" customWidth="1"/>
    <col min="5688" max="5688" width="14.28515625" style="112" customWidth="1"/>
    <col min="5689" max="5689" width="14.5703125" style="112" customWidth="1"/>
    <col min="5690" max="5690" width="14.28515625" style="112" customWidth="1"/>
    <col min="5691" max="5694" width="14.5703125" style="112" customWidth="1"/>
    <col min="5695" max="5696" width="14.28515625" style="112" customWidth="1"/>
    <col min="5697" max="5876" width="11.42578125" style="112" customWidth="1"/>
    <col min="5877" max="5877" width="7.85546875" style="112" customWidth="1"/>
    <col min="5878" max="5879" width="11.42578125" style="112" customWidth="1"/>
    <col min="5880" max="5880" width="12.42578125" style="112" customWidth="1"/>
    <col min="5881" max="5881" width="6.28515625" style="112" customWidth="1"/>
    <col min="5882" max="5882" width="11" style="112" customWidth="1"/>
    <col min="5883" max="5887" width="11.5703125" style="112" hidden="1" customWidth="1"/>
    <col min="5888" max="5888" width="7.5703125" style="112" customWidth="1"/>
    <col min="5889" max="5889" width="15.28515625" style="112" customWidth="1"/>
    <col min="5890" max="5890" width="11.42578125" style="112" customWidth="1"/>
    <col min="5891" max="5896" width="11.5703125" style="112" hidden="1" customWidth="1"/>
    <col min="5897" max="5897" width="18.140625" style="112" customWidth="1"/>
    <col min="5898" max="5898" width="14.85546875" style="112" customWidth="1"/>
    <col min="5899" max="5899" width="14.28515625" style="112" customWidth="1"/>
    <col min="5900" max="5900" width="3.5703125" style="112" customWidth="1"/>
    <col min="5901" max="5901" width="12.42578125" style="112" customWidth="1"/>
    <col min="5902" max="5902" width="14" style="112" customWidth="1"/>
    <col min="5903" max="5904" width="18.140625" style="112" customWidth="1"/>
    <col min="5905" max="5905" width="13.42578125" style="112" customWidth="1"/>
    <col min="5906" max="5906" width="18.140625" style="112" customWidth="1"/>
    <col min="5907" max="5910" width="11.42578125" style="112" customWidth="1"/>
    <col min="5911" max="5913" width="12.28515625" style="112" customWidth="1"/>
    <col min="5914" max="5914" width="12" style="112" customWidth="1"/>
    <col min="5915" max="5915" width="11.42578125" style="112" customWidth="1"/>
    <col min="5916" max="5917" width="12.28515625" style="112" customWidth="1"/>
    <col min="5918" max="5918" width="13.140625" style="112" customWidth="1"/>
    <col min="5919" max="5919" width="13.5703125" style="112" customWidth="1"/>
    <col min="5920" max="5920" width="17.28515625" style="112" customWidth="1"/>
    <col min="5921" max="5921" width="13.85546875" style="112" customWidth="1"/>
    <col min="5922" max="5922" width="13.140625" style="112" customWidth="1"/>
    <col min="5923" max="5923" width="14.42578125" style="112" customWidth="1"/>
    <col min="5924" max="5925" width="13.5703125" style="112" customWidth="1"/>
    <col min="5926" max="5927" width="13.140625" style="112" customWidth="1"/>
    <col min="5928" max="5928" width="13.85546875" style="112" customWidth="1"/>
    <col min="5929" max="5929" width="13.5703125" style="112" customWidth="1"/>
    <col min="5930" max="5930" width="17.28515625" style="112" customWidth="1"/>
    <col min="5931" max="5931" width="13.85546875" style="112" customWidth="1"/>
    <col min="5932" max="5932" width="13.5703125" style="112" customWidth="1"/>
    <col min="5933" max="5933" width="13.85546875" style="112" customWidth="1"/>
    <col min="5934" max="5934" width="13.5703125" style="112" customWidth="1"/>
    <col min="5935" max="5935" width="17" style="112" customWidth="1"/>
    <col min="5936" max="5936" width="13.5703125" style="112" customWidth="1"/>
    <col min="5937" max="5937" width="17.85546875" style="112" customWidth="1"/>
    <col min="5938" max="5941" width="13.5703125" style="112" customWidth="1"/>
    <col min="5942" max="5942" width="14.28515625" style="112" customWidth="1"/>
    <col min="5943" max="5943" width="14.5703125" style="112" customWidth="1"/>
    <col min="5944" max="5944" width="14.28515625" style="112" customWidth="1"/>
    <col min="5945" max="5945" width="14.5703125" style="112" customWidth="1"/>
    <col min="5946" max="5946" width="14.28515625" style="112" customWidth="1"/>
    <col min="5947" max="5950" width="14.5703125" style="112" customWidth="1"/>
    <col min="5951" max="5952" width="14.28515625" style="112" customWidth="1"/>
    <col min="5953" max="6132" width="11.42578125" style="112" customWidth="1"/>
    <col min="6133" max="6133" width="7.85546875" style="112" customWidth="1"/>
    <col min="6134" max="6135" width="11.42578125" style="112" customWidth="1"/>
    <col min="6136" max="6136" width="12.42578125" style="112" customWidth="1"/>
    <col min="6137" max="6137" width="6.28515625" style="112" customWidth="1"/>
    <col min="6138" max="6138" width="11" style="112" customWidth="1"/>
    <col min="6139" max="6143" width="11.5703125" style="112" hidden="1" customWidth="1"/>
    <col min="6144" max="6144" width="7.5703125" style="112" customWidth="1"/>
    <col min="6145" max="6145" width="15.28515625" style="112" customWidth="1"/>
    <col min="6146" max="6146" width="11.42578125" style="112" customWidth="1"/>
    <col min="6147" max="6152" width="11.5703125" style="112" hidden="1" customWidth="1"/>
    <col min="6153" max="6153" width="18.140625" style="112" customWidth="1"/>
    <col min="6154" max="6154" width="14.85546875" style="112" customWidth="1"/>
    <col min="6155" max="6155" width="14.28515625" style="112" customWidth="1"/>
    <col min="6156" max="6156" width="3.5703125" style="112" customWidth="1"/>
    <col min="6157" max="6157" width="12.42578125" style="112" customWidth="1"/>
    <col min="6158" max="6158" width="14" style="112" customWidth="1"/>
    <col min="6159" max="6160" width="18.140625" style="112" customWidth="1"/>
    <col min="6161" max="6161" width="13.42578125" style="112" customWidth="1"/>
    <col min="6162" max="6162" width="18.140625" style="112" customWidth="1"/>
    <col min="6163" max="6166" width="11.42578125" style="112" customWidth="1"/>
    <col min="6167" max="6169" width="12.28515625" style="112" customWidth="1"/>
    <col min="6170" max="6170" width="12" style="112" customWidth="1"/>
    <col min="6171" max="6171" width="11.42578125" style="112" customWidth="1"/>
    <col min="6172" max="6173" width="12.28515625" style="112" customWidth="1"/>
    <col min="6174" max="6174" width="13.140625" style="112" customWidth="1"/>
    <col min="6175" max="6175" width="13.5703125" style="112" customWidth="1"/>
    <col min="6176" max="6176" width="17.28515625" style="112" customWidth="1"/>
    <col min="6177" max="6177" width="13.85546875" style="112" customWidth="1"/>
    <col min="6178" max="6178" width="13.140625" style="112" customWidth="1"/>
    <col min="6179" max="6179" width="14.42578125" style="112" customWidth="1"/>
    <col min="6180" max="6181" width="13.5703125" style="112" customWidth="1"/>
    <col min="6182" max="6183" width="13.140625" style="112" customWidth="1"/>
    <col min="6184" max="6184" width="13.85546875" style="112" customWidth="1"/>
    <col min="6185" max="6185" width="13.5703125" style="112" customWidth="1"/>
    <col min="6186" max="6186" width="17.28515625" style="112" customWidth="1"/>
    <col min="6187" max="6187" width="13.85546875" style="112" customWidth="1"/>
    <col min="6188" max="6188" width="13.5703125" style="112" customWidth="1"/>
    <col min="6189" max="6189" width="13.85546875" style="112" customWidth="1"/>
    <col min="6190" max="6190" width="13.5703125" style="112" customWidth="1"/>
    <col min="6191" max="6191" width="17" style="112" customWidth="1"/>
    <col min="6192" max="6192" width="13.5703125" style="112" customWidth="1"/>
    <col min="6193" max="6193" width="17.85546875" style="112" customWidth="1"/>
    <col min="6194" max="6197" width="13.5703125" style="112" customWidth="1"/>
    <col min="6198" max="6198" width="14.28515625" style="112" customWidth="1"/>
    <col min="6199" max="6199" width="14.5703125" style="112" customWidth="1"/>
    <col min="6200" max="6200" width="14.28515625" style="112" customWidth="1"/>
    <col min="6201" max="6201" width="14.5703125" style="112" customWidth="1"/>
    <col min="6202" max="6202" width="14.28515625" style="112" customWidth="1"/>
    <col min="6203" max="6206" width="14.5703125" style="112" customWidth="1"/>
    <col min="6207" max="6208" width="14.28515625" style="112" customWidth="1"/>
    <col min="6209" max="6388" width="11.42578125" style="112" customWidth="1"/>
    <col min="6389" max="6389" width="7.85546875" style="112" customWidth="1"/>
    <col min="6390" max="6391" width="11.42578125" style="112" customWidth="1"/>
    <col min="6392" max="6392" width="12.42578125" style="112" customWidth="1"/>
    <col min="6393" max="6393" width="6.28515625" style="112" customWidth="1"/>
    <col min="6394" max="6394" width="11" style="112" customWidth="1"/>
    <col min="6395" max="6399" width="11.5703125" style="112" hidden="1" customWidth="1"/>
    <col min="6400" max="6400" width="7.5703125" style="112" customWidth="1"/>
    <col min="6401" max="6401" width="15.28515625" style="112" customWidth="1"/>
    <col min="6402" max="6402" width="11.42578125" style="112" customWidth="1"/>
    <col min="6403" max="6408" width="11.5703125" style="112" hidden="1" customWidth="1"/>
    <col min="6409" max="6409" width="18.140625" style="112" customWidth="1"/>
    <col min="6410" max="6410" width="14.85546875" style="112" customWidth="1"/>
    <col min="6411" max="6411" width="14.28515625" style="112" customWidth="1"/>
    <col min="6412" max="6412" width="3.5703125" style="112" customWidth="1"/>
    <col min="6413" max="6413" width="12.42578125" style="112" customWidth="1"/>
    <col min="6414" max="6414" width="14" style="112" customWidth="1"/>
    <col min="6415" max="6416" width="18.140625" style="112" customWidth="1"/>
    <col min="6417" max="6417" width="13.42578125" style="112" customWidth="1"/>
    <col min="6418" max="6418" width="18.140625" style="112" customWidth="1"/>
    <col min="6419" max="6422" width="11.42578125" style="112" customWidth="1"/>
    <col min="6423" max="6425" width="12.28515625" style="112" customWidth="1"/>
    <col min="6426" max="6426" width="12" style="112" customWidth="1"/>
    <col min="6427" max="6427" width="11.42578125" style="112" customWidth="1"/>
    <col min="6428" max="6429" width="12.28515625" style="112" customWidth="1"/>
    <col min="6430" max="6430" width="13.140625" style="112" customWidth="1"/>
    <col min="6431" max="6431" width="13.5703125" style="112" customWidth="1"/>
    <col min="6432" max="6432" width="17.28515625" style="112" customWidth="1"/>
    <col min="6433" max="6433" width="13.85546875" style="112" customWidth="1"/>
    <col min="6434" max="6434" width="13.140625" style="112" customWidth="1"/>
    <col min="6435" max="6435" width="14.42578125" style="112" customWidth="1"/>
    <col min="6436" max="6437" width="13.5703125" style="112" customWidth="1"/>
    <col min="6438" max="6439" width="13.140625" style="112" customWidth="1"/>
    <col min="6440" max="6440" width="13.85546875" style="112" customWidth="1"/>
    <col min="6441" max="6441" width="13.5703125" style="112" customWidth="1"/>
    <col min="6442" max="6442" width="17.28515625" style="112" customWidth="1"/>
    <col min="6443" max="6443" width="13.85546875" style="112" customWidth="1"/>
    <col min="6444" max="6444" width="13.5703125" style="112" customWidth="1"/>
    <col min="6445" max="6445" width="13.85546875" style="112" customWidth="1"/>
    <col min="6446" max="6446" width="13.5703125" style="112" customWidth="1"/>
    <col min="6447" max="6447" width="17" style="112" customWidth="1"/>
    <col min="6448" max="6448" width="13.5703125" style="112" customWidth="1"/>
    <col min="6449" max="6449" width="17.85546875" style="112" customWidth="1"/>
    <col min="6450" max="6453" width="13.5703125" style="112" customWidth="1"/>
    <col min="6454" max="6454" width="14.28515625" style="112" customWidth="1"/>
    <col min="6455" max="6455" width="14.5703125" style="112" customWidth="1"/>
    <col min="6456" max="6456" width="14.28515625" style="112" customWidth="1"/>
    <col min="6457" max="6457" width="14.5703125" style="112" customWidth="1"/>
    <col min="6458" max="6458" width="14.28515625" style="112" customWidth="1"/>
    <col min="6459" max="6462" width="14.5703125" style="112" customWidth="1"/>
    <col min="6463" max="6464" width="14.28515625" style="112" customWidth="1"/>
    <col min="6465" max="6644" width="11.42578125" style="112" customWidth="1"/>
    <col min="6645" max="6645" width="7.85546875" style="112" customWidth="1"/>
    <col min="6646" max="6647" width="11.42578125" style="112" customWidth="1"/>
    <col min="6648" max="6648" width="12.42578125" style="112" customWidth="1"/>
    <col min="6649" max="6649" width="6.28515625" style="112" customWidth="1"/>
    <col min="6650" max="6650" width="11" style="112" customWidth="1"/>
    <col min="6651" max="6655" width="11.5703125" style="112" hidden="1" customWidth="1"/>
    <col min="6656" max="6656" width="7.5703125" style="112" customWidth="1"/>
    <col min="6657" max="6657" width="15.28515625" style="112" customWidth="1"/>
    <col min="6658" max="6658" width="11.42578125" style="112" customWidth="1"/>
    <col min="6659" max="6664" width="11.5703125" style="112" hidden="1" customWidth="1"/>
    <col min="6665" max="6665" width="18.140625" style="112" customWidth="1"/>
    <col min="6666" max="6666" width="14.85546875" style="112" customWidth="1"/>
    <col min="6667" max="6667" width="14.28515625" style="112" customWidth="1"/>
    <col min="6668" max="6668" width="3.5703125" style="112" customWidth="1"/>
    <col min="6669" max="6669" width="12.42578125" style="112" customWidth="1"/>
    <col min="6670" max="6670" width="14" style="112" customWidth="1"/>
    <col min="6671" max="6672" width="18.140625" style="112" customWidth="1"/>
    <col min="6673" max="6673" width="13.42578125" style="112" customWidth="1"/>
    <col min="6674" max="6674" width="18.140625" style="112" customWidth="1"/>
    <col min="6675" max="6678" width="11.42578125" style="112" customWidth="1"/>
    <col min="6679" max="6681" width="12.28515625" style="112" customWidth="1"/>
    <col min="6682" max="6682" width="12" style="112" customWidth="1"/>
    <col min="6683" max="6683" width="11.42578125" style="112" customWidth="1"/>
    <col min="6684" max="6685" width="12.28515625" style="112" customWidth="1"/>
    <col min="6686" max="6686" width="13.140625" style="112" customWidth="1"/>
    <col min="6687" max="6687" width="13.5703125" style="112" customWidth="1"/>
    <col min="6688" max="6688" width="17.28515625" style="112" customWidth="1"/>
    <col min="6689" max="6689" width="13.85546875" style="112" customWidth="1"/>
    <col min="6690" max="6690" width="13.140625" style="112" customWidth="1"/>
    <col min="6691" max="6691" width="14.42578125" style="112" customWidth="1"/>
    <col min="6692" max="6693" width="13.5703125" style="112" customWidth="1"/>
    <col min="6694" max="6695" width="13.140625" style="112" customWidth="1"/>
    <col min="6696" max="6696" width="13.85546875" style="112" customWidth="1"/>
    <col min="6697" max="6697" width="13.5703125" style="112" customWidth="1"/>
    <col min="6698" max="6698" width="17.28515625" style="112" customWidth="1"/>
    <col min="6699" max="6699" width="13.85546875" style="112" customWidth="1"/>
    <col min="6700" max="6700" width="13.5703125" style="112" customWidth="1"/>
    <col min="6701" max="6701" width="13.85546875" style="112" customWidth="1"/>
    <col min="6702" max="6702" width="13.5703125" style="112" customWidth="1"/>
    <col min="6703" max="6703" width="17" style="112" customWidth="1"/>
    <col min="6704" max="6704" width="13.5703125" style="112" customWidth="1"/>
    <col min="6705" max="6705" width="17.85546875" style="112" customWidth="1"/>
    <col min="6706" max="6709" width="13.5703125" style="112" customWidth="1"/>
    <col min="6710" max="6710" width="14.28515625" style="112" customWidth="1"/>
    <col min="6711" max="6711" width="14.5703125" style="112" customWidth="1"/>
    <col min="6712" max="6712" width="14.28515625" style="112" customWidth="1"/>
    <col min="6713" max="6713" width="14.5703125" style="112" customWidth="1"/>
    <col min="6714" max="6714" width="14.28515625" style="112" customWidth="1"/>
    <col min="6715" max="6718" width="14.5703125" style="112" customWidth="1"/>
    <col min="6719" max="6720" width="14.28515625" style="112" customWidth="1"/>
    <col min="6721" max="6900" width="11.42578125" style="112" customWidth="1"/>
    <col min="6901" max="6901" width="7.85546875" style="112" customWidth="1"/>
    <col min="6902" max="6903" width="11.42578125" style="112" customWidth="1"/>
    <col min="6904" max="6904" width="12.42578125" style="112" customWidth="1"/>
    <col min="6905" max="6905" width="6.28515625" style="112" customWidth="1"/>
    <col min="6906" max="6906" width="11" style="112" customWidth="1"/>
    <col min="6907" max="6911" width="11.5703125" style="112" hidden="1" customWidth="1"/>
    <col min="6912" max="6912" width="7.5703125" style="112" customWidth="1"/>
    <col min="6913" max="6913" width="15.28515625" style="112" customWidth="1"/>
    <col min="6914" max="6914" width="11.42578125" style="112" customWidth="1"/>
    <col min="6915" max="6920" width="11.5703125" style="112" hidden="1" customWidth="1"/>
    <col min="6921" max="6921" width="18.140625" style="112" customWidth="1"/>
    <col min="6922" max="6922" width="14.85546875" style="112" customWidth="1"/>
    <col min="6923" max="6923" width="14.28515625" style="112" customWidth="1"/>
    <col min="6924" max="6924" width="3.5703125" style="112" customWidth="1"/>
    <col min="6925" max="6925" width="12.42578125" style="112" customWidth="1"/>
    <col min="6926" max="6926" width="14" style="112" customWidth="1"/>
    <col min="6927" max="6928" width="18.140625" style="112" customWidth="1"/>
    <col min="6929" max="6929" width="13.42578125" style="112" customWidth="1"/>
    <col min="6930" max="6930" width="18.140625" style="112" customWidth="1"/>
    <col min="6931" max="6934" width="11.42578125" style="112" customWidth="1"/>
    <col min="6935" max="6937" width="12.28515625" style="112" customWidth="1"/>
    <col min="6938" max="6938" width="12" style="112" customWidth="1"/>
    <col min="6939" max="6939" width="11.42578125" style="112" customWidth="1"/>
    <col min="6940" max="6941" width="12.28515625" style="112" customWidth="1"/>
    <col min="6942" max="6942" width="13.140625" style="112" customWidth="1"/>
    <col min="6943" max="6943" width="13.5703125" style="112" customWidth="1"/>
    <col min="6944" max="6944" width="17.28515625" style="112" customWidth="1"/>
    <col min="6945" max="6945" width="13.85546875" style="112" customWidth="1"/>
    <col min="6946" max="6946" width="13.140625" style="112" customWidth="1"/>
    <col min="6947" max="6947" width="14.42578125" style="112" customWidth="1"/>
    <col min="6948" max="6949" width="13.5703125" style="112" customWidth="1"/>
    <col min="6950" max="6951" width="13.140625" style="112" customWidth="1"/>
    <col min="6952" max="6952" width="13.85546875" style="112" customWidth="1"/>
    <col min="6953" max="6953" width="13.5703125" style="112" customWidth="1"/>
    <col min="6954" max="6954" width="17.28515625" style="112" customWidth="1"/>
    <col min="6955" max="6955" width="13.85546875" style="112" customWidth="1"/>
    <col min="6956" max="6956" width="13.5703125" style="112" customWidth="1"/>
    <col min="6957" max="6957" width="13.85546875" style="112" customWidth="1"/>
    <col min="6958" max="6958" width="13.5703125" style="112" customWidth="1"/>
    <col min="6959" max="6959" width="17" style="112" customWidth="1"/>
    <col min="6960" max="6960" width="13.5703125" style="112" customWidth="1"/>
    <col min="6961" max="6961" width="17.85546875" style="112" customWidth="1"/>
    <col min="6962" max="6965" width="13.5703125" style="112" customWidth="1"/>
    <col min="6966" max="6966" width="14.28515625" style="112" customWidth="1"/>
    <col min="6967" max="6967" width="14.5703125" style="112" customWidth="1"/>
    <col min="6968" max="6968" width="14.28515625" style="112" customWidth="1"/>
    <col min="6969" max="6969" width="14.5703125" style="112" customWidth="1"/>
    <col min="6970" max="6970" width="14.28515625" style="112" customWidth="1"/>
    <col min="6971" max="6974" width="14.5703125" style="112" customWidth="1"/>
    <col min="6975" max="6976" width="14.28515625" style="112" customWidth="1"/>
    <col min="6977" max="7156" width="11.42578125" style="112" customWidth="1"/>
    <col min="7157" max="7157" width="7.85546875" style="112" customWidth="1"/>
    <col min="7158" max="7159" width="11.42578125" style="112" customWidth="1"/>
    <col min="7160" max="7160" width="12.42578125" style="112" customWidth="1"/>
    <col min="7161" max="7161" width="6.28515625" style="112" customWidth="1"/>
    <col min="7162" max="7162" width="11" style="112" customWidth="1"/>
    <col min="7163" max="7167" width="11.5703125" style="112" hidden="1" customWidth="1"/>
    <col min="7168" max="7168" width="7.5703125" style="112" customWidth="1"/>
    <col min="7169" max="7169" width="15.28515625" style="112" customWidth="1"/>
    <col min="7170" max="7170" width="11.42578125" style="112" customWidth="1"/>
    <col min="7171" max="7176" width="11.5703125" style="112" hidden="1" customWidth="1"/>
    <col min="7177" max="7177" width="18.140625" style="112" customWidth="1"/>
    <col min="7178" max="7178" width="14.85546875" style="112" customWidth="1"/>
    <col min="7179" max="7179" width="14.28515625" style="112" customWidth="1"/>
    <col min="7180" max="7180" width="3.5703125" style="112" customWidth="1"/>
    <col min="7181" max="7181" width="12.42578125" style="112" customWidth="1"/>
    <col min="7182" max="7182" width="14" style="112" customWidth="1"/>
    <col min="7183" max="7184" width="18.140625" style="112" customWidth="1"/>
    <col min="7185" max="7185" width="13.42578125" style="112" customWidth="1"/>
    <col min="7186" max="7186" width="18.140625" style="112" customWidth="1"/>
    <col min="7187" max="7190" width="11.42578125" style="112" customWidth="1"/>
    <col min="7191" max="7193" width="12.28515625" style="112" customWidth="1"/>
    <col min="7194" max="7194" width="12" style="112" customWidth="1"/>
    <col min="7195" max="7195" width="11.42578125" style="112" customWidth="1"/>
    <col min="7196" max="7197" width="12.28515625" style="112" customWidth="1"/>
    <col min="7198" max="7198" width="13.140625" style="112" customWidth="1"/>
    <col min="7199" max="7199" width="13.5703125" style="112" customWidth="1"/>
    <col min="7200" max="7200" width="17.28515625" style="112" customWidth="1"/>
    <col min="7201" max="7201" width="13.85546875" style="112" customWidth="1"/>
    <col min="7202" max="7202" width="13.140625" style="112" customWidth="1"/>
    <col min="7203" max="7203" width="14.42578125" style="112" customWidth="1"/>
    <col min="7204" max="7205" width="13.5703125" style="112" customWidth="1"/>
    <col min="7206" max="7207" width="13.140625" style="112" customWidth="1"/>
    <col min="7208" max="7208" width="13.85546875" style="112" customWidth="1"/>
    <col min="7209" max="7209" width="13.5703125" style="112" customWidth="1"/>
    <col min="7210" max="7210" width="17.28515625" style="112" customWidth="1"/>
    <col min="7211" max="7211" width="13.85546875" style="112" customWidth="1"/>
    <col min="7212" max="7212" width="13.5703125" style="112" customWidth="1"/>
    <col min="7213" max="7213" width="13.85546875" style="112" customWidth="1"/>
    <col min="7214" max="7214" width="13.5703125" style="112" customWidth="1"/>
    <col min="7215" max="7215" width="17" style="112" customWidth="1"/>
    <col min="7216" max="7216" width="13.5703125" style="112" customWidth="1"/>
    <col min="7217" max="7217" width="17.85546875" style="112" customWidth="1"/>
    <col min="7218" max="7221" width="13.5703125" style="112" customWidth="1"/>
    <col min="7222" max="7222" width="14.28515625" style="112" customWidth="1"/>
    <col min="7223" max="7223" width="14.5703125" style="112" customWidth="1"/>
    <col min="7224" max="7224" width="14.28515625" style="112" customWidth="1"/>
    <col min="7225" max="7225" width="14.5703125" style="112" customWidth="1"/>
    <col min="7226" max="7226" width="14.28515625" style="112" customWidth="1"/>
    <col min="7227" max="7230" width="14.5703125" style="112" customWidth="1"/>
    <col min="7231" max="7232" width="14.28515625" style="112" customWidth="1"/>
    <col min="7233" max="7412" width="11.42578125" style="112" customWidth="1"/>
    <col min="7413" max="7413" width="7.85546875" style="112" customWidth="1"/>
    <col min="7414" max="7415" width="11.42578125" style="112" customWidth="1"/>
    <col min="7416" max="7416" width="12.42578125" style="112" customWidth="1"/>
    <col min="7417" max="7417" width="6.28515625" style="112" customWidth="1"/>
    <col min="7418" max="7418" width="11" style="112" customWidth="1"/>
    <col min="7419" max="7423" width="11.5703125" style="112" hidden="1" customWidth="1"/>
    <col min="7424" max="7424" width="7.5703125" style="112" customWidth="1"/>
    <col min="7425" max="7425" width="15.28515625" style="112" customWidth="1"/>
    <col min="7426" max="7426" width="11.42578125" style="112" customWidth="1"/>
    <col min="7427" max="7432" width="11.5703125" style="112" hidden="1" customWidth="1"/>
    <col min="7433" max="7433" width="18.140625" style="112" customWidth="1"/>
    <col min="7434" max="7434" width="14.85546875" style="112" customWidth="1"/>
    <col min="7435" max="7435" width="14.28515625" style="112" customWidth="1"/>
    <col min="7436" max="7436" width="3.5703125" style="112" customWidth="1"/>
    <col min="7437" max="7437" width="12.42578125" style="112" customWidth="1"/>
    <col min="7438" max="7438" width="14" style="112" customWidth="1"/>
    <col min="7439" max="7440" width="18.140625" style="112" customWidth="1"/>
    <col min="7441" max="7441" width="13.42578125" style="112" customWidth="1"/>
    <col min="7442" max="7442" width="18.140625" style="112" customWidth="1"/>
    <col min="7443" max="7446" width="11.42578125" style="112" customWidth="1"/>
    <col min="7447" max="7449" width="12.28515625" style="112" customWidth="1"/>
    <col min="7450" max="7450" width="12" style="112" customWidth="1"/>
    <col min="7451" max="7451" width="11.42578125" style="112" customWidth="1"/>
    <col min="7452" max="7453" width="12.28515625" style="112" customWidth="1"/>
    <col min="7454" max="7454" width="13.140625" style="112" customWidth="1"/>
    <col min="7455" max="7455" width="13.5703125" style="112" customWidth="1"/>
    <col min="7456" max="7456" width="17.28515625" style="112" customWidth="1"/>
    <col min="7457" max="7457" width="13.85546875" style="112" customWidth="1"/>
    <col min="7458" max="7458" width="13.140625" style="112" customWidth="1"/>
    <col min="7459" max="7459" width="14.42578125" style="112" customWidth="1"/>
    <col min="7460" max="7461" width="13.5703125" style="112" customWidth="1"/>
    <col min="7462" max="7463" width="13.140625" style="112" customWidth="1"/>
    <col min="7464" max="7464" width="13.85546875" style="112" customWidth="1"/>
    <col min="7465" max="7465" width="13.5703125" style="112" customWidth="1"/>
    <col min="7466" max="7466" width="17.28515625" style="112" customWidth="1"/>
    <col min="7467" max="7467" width="13.85546875" style="112" customWidth="1"/>
    <col min="7468" max="7468" width="13.5703125" style="112" customWidth="1"/>
    <col min="7469" max="7469" width="13.85546875" style="112" customWidth="1"/>
    <col min="7470" max="7470" width="13.5703125" style="112" customWidth="1"/>
    <col min="7471" max="7471" width="17" style="112" customWidth="1"/>
    <col min="7472" max="7472" width="13.5703125" style="112" customWidth="1"/>
    <col min="7473" max="7473" width="17.85546875" style="112" customWidth="1"/>
    <col min="7474" max="7477" width="13.5703125" style="112" customWidth="1"/>
    <col min="7478" max="7478" width="14.28515625" style="112" customWidth="1"/>
    <col min="7479" max="7479" width="14.5703125" style="112" customWidth="1"/>
    <col min="7480" max="7480" width="14.28515625" style="112" customWidth="1"/>
    <col min="7481" max="7481" width="14.5703125" style="112" customWidth="1"/>
    <col min="7482" max="7482" width="14.28515625" style="112" customWidth="1"/>
    <col min="7483" max="7486" width="14.5703125" style="112" customWidth="1"/>
    <col min="7487" max="7488" width="14.28515625" style="112" customWidth="1"/>
    <col min="7489" max="7668" width="11.42578125" style="112" customWidth="1"/>
    <col min="7669" max="7669" width="7.85546875" style="112" customWidth="1"/>
    <col min="7670" max="7671" width="11.42578125" style="112" customWidth="1"/>
    <col min="7672" max="7672" width="12.42578125" style="112" customWidth="1"/>
    <col min="7673" max="7673" width="6.28515625" style="112" customWidth="1"/>
    <col min="7674" max="7674" width="11" style="112" customWidth="1"/>
    <col min="7675" max="7679" width="11.5703125" style="112" hidden="1" customWidth="1"/>
    <col min="7680" max="7680" width="7.5703125" style="112" customWidth="1"/>
    <col min="7681" max="7681" width="15.28515625" style="112" customWidth="1"/>
    <col min="7682" max="7682" width="11.42578125" style="112" customWidth="1"/>
    <col min="7683" max="7688" width="11.5703125" style="112" hidden="1" customWidth="1"/>
    <col min="7689" max="7689" width="18.140625" style="112" customWidth="1"/>
    <col min="7690" max="7690" width="14.85546875" style="112" customWidth="1"/>
    <col min="7691" max="7691" width="14.28515625" style="112" customWidth="1"/>
    <col min="7692" max="7692" width="3.5703125" style="112" customWidth="1"/>
    <col min="7693" max="7693" width="12.42578125" style="112" customWidth="1"/>
    <col min="7694" max="7694" width="14" style="112" customWidth="1"/>
    <col min="7695" max="7696" width="18.140625" style="112" customWidth="1"/>
    <col min="7697" max="7697" width="13.42578125" style="112" customWidth="1"/>
    <col min="7698" max="7698" width="18.140625" style="112" customWidth="1"/>
    <col min="7699" max="7702" width="11.42578125" style="112" customWidth="1"/>
    <col min="7703" max="7705" width="12.28515625" style="112" customWidth="1"/>
    <col min="7706" max="7706" width="12" style="112" customWidth="1"/>
    <col min="7707" max="7707" width="11.42578125" style="112" customWidth="1"/>
    <col min="7708" max="7709" width="12.28515625" style="112" customWidth="1"/>
    <col min="7710" max="7710" width="13.140625" style="112" customWidth="1"/>
    <col min="7711" max="7711" width="13.5703125" style="112" customWidth="1"/>
    <col min="7712" max="7712" width="17.28515625" style="112" customWidth="1"/>
    <col min="7713" max="7713" width="13.85546875" style="112" customWidth="1"/>
    <col min="7714" max="7714" width="13.140625" style="112" customWidth="1"/>
    <col min="7715" max="7715" width="14.42578125" style="112" customWidth="1"/>
    <col min="7716" max="7717" width="13.5703125" style="112" customWidth="1"/>
    <col min="7718" max="7719" width="13.140625" style="112" customWidth="1"/>
    <col min="7720" max="7720" width="13.85546875" style="112" customWidth="1"/>
    <col min="7721" max="7721" width="13.5703125" style="112" customWidth="1"/>
    <col min="7722" max="7722" width="17.28515625" style="112" customWidth="1"/>
    <col min="7723" max="7723" width="13.85546875" style="112" customWidth="1"/>
    <col min="7724" max="7724" width="13.5703125" style="112" customWidth="1"/>
    <col min="7725" max="7725" width="13.85546875" style="112" customWidth="1"/>
    <col min="7726" max="7726" width="13.5703125" style="112" customWidth="1"/>
    <col min="7727" max="7727" width="17" style="112" customWidth="1"/>
    <col min="7728" max="7728" width="13.5703125" style="112" customWidth="1"/>
    <col min="7729" max="7729" width="17.85546875" style="112" customWidth="1"/>
    <col min="7730" max="7733" width="13.5703125" style="112" customWidth="1"/>
    <col min="7734" max="7734" width="14.28515625" style="112" customWidth="1"/>
    <col min="7735" max="7735" width="14.5703125" style="112" customWidth="1"/>
    <col min="7736" max="7736" width="14.28515625" style="112" customWidth="1"/>
    <col min="7737" max="7737" width="14.5703125" style="112" customWidth="1"/>
    <col min="7738" max="7738" width="14.28515625" style="112" customWidth="1"/>
    <col min="7739" max="7742" width="14.5703125" style="112" customWidth="1"/>
    <col min="7743" max="7744" width="14.28515625" style="112" customWidth="1"/>
    <col min="7745" max="7924" width="11.42578125" style="112" customWidth="1"/>
    <col min="7925" max="7925" width="7.85546875" style="112" customWidth="1"/>
    <col min="7926" max="7927" width="11.42578125" style="112" customWidth="1"/>
    <col min="7928" max="7928" width="12.42578125" style="112" customWidth="1"/>
    <col min="7929" max="7929" width="6.28515625" style="112" customWidth="1"/>
    <col min="7930" max="7930" width="11" style="112" customWidth="1"/>
    <col min="7931" max="7935" width="11.5703125" style="112" hidden="1" customWidth="1"/>
    <col min="7936" max="7936" width="7.5703125" style="112" customWidth="1"/>
    <col min="7937" max="7937" width="15.28515625" style="112" customWidth="1"/>
    <col min="7938" max="7938" width="11.42578125" style="112" customWidth="1"/>
    <col min="7939" max="7944" width="11.5703125" style="112" hidden="1" customWidth="1"/>
    <col min="7945" max="7945" width="18.140625" style="112" customWidth="1"/>
    <col min="7946" max="7946" width="14.85546875" style="112" customWidth="1"/>
    <col min="7947" max="7947" width="14.28515625" style="112" customWidth="1"/>
    <col min="7948" max="7948" width="3.5703125" style="112" customWidth="1"/>
    <col min="7949" max="7949" width="12.42578125" style="112" customWidth="1"/>
    <col min="7950" max="7950" width="14" style="112" customWidth="1"/>
    <col min="7951" max="7952" width="18.140625" style="112" customWidth="1"/>
    <col min="7953" max="7953" width="13.42578125" style="112" customWidth="1"/>
    <col min="7954" max="7954" width="18.140625" style="112" customWidth="1"/>
    <col min="7955" max="7958" width="11.42578125" style="112" customWidth="1"/>
    <col min="7959" max="7961" width="12.28515625" style="112" customWidth="1"/>
    <col min="7962" max="7962" width="12" style="112" customWidth="1"/>
    <col min="7963" max="7963" width="11.42578125" style="112" customWidth="1"/>
    <col min="7964" max="7965" width="12.28515625" style="112" customWidth="1"/>
    <col min="7966" max="7966" width="13.140625" style="112" customWidth="1"/>
    <col min="7967" max="7967" width="13.5703125" style="112" customWidth="1"/>
    <col min="7968" max="7968" width="17.28515625" style="112" customWidth="1"/>
    <col min="7969" max="7969" width="13.85546875" style="112" customWidth="1"/>
    <col min="7970" max="7970" width="13.140625" style="112" customWidth="1"/>
    <col min="7971" max="7971" width="14.42578125" style="112" customWidth="1"/>
    <col min="7972" max="7973" width="13.5703125" style="112" customWidth="1"/>
    <col min="7974" max="7975" width="13.140625" style="112" customWidth="1"/>
    <col min="7976" max="7976" width="13.85546875" style="112" customWidth="1"/>
    <col min="7977" max="7977" width="13.5703125" style="112" customWidth="1"/>
    <col min="7978" max="7978" width="17.28515625" style="112" customWidth="1"/>
    <col min="7979" max="7979" width="13.85546875" style="112" customWidth="1"/>
    <col min="7980" max="7980" width="13.5703125" style="112" customWidth="1"/>
    <col min="7981" max="7981" width="13.85546875" style="112" customWidth="1"/>
    <col min="7982" max="7982" width="13.5703125" style="112" customWidth="1"/>
    <col min="7983" max="7983" width="17" style="112" customWidth="1"/>
    <col min="7984" max="7984" width="13.5703125" style="112" customWidth="1"/>
    <col min="7985" max="7985" width="17.85546875" style="112" customWidth="1"/>
    <col min="7986" max="7989" width="13.5703125" style="112" customWidth="1"/>
    <col min="7990" max="7990" width="14.28515625" style="112" customWidth="1"/>
    <col min="7991" max="7991" width="14.5703125" style="112" customWidth="1"/>
    <col min="7992" max="7992" width="14.28515625" style="112" customWidth="1"/>
    <col min="7993" max="7993" width="14.5703125" style="112" customWidth="1"/>
    <col min="7994" max="7994" width="14.28515625" style="112" customWidth="1"/>
    <col min="7995" max="7998" width="14.5703125" style="112" customWidth="1"/>
    <col min="7999" max="8000" width="14.28515625" style="112" customWidth="1"/>
    <col min="8001" max="8180" width="11.42578125" style="112" customWidth="1"/>
    <col min="8181" max="8181" width="7.85546875" style="112" customWidth="1"/>
    <col min="8182" max="8183" width="11.42578125" style="112" customWidth="1"/>
    <col min="8184" max="8184" width="12.42578125" style="112" customWidth="1"/>
    <col min="8185" max="8185" width="6.28515625" style="112" customWidth="1"/>
    <col min="8186" max="8186" width="11" style="112" customWidth="1"/>
    <col min="8187" max="8191" width="11.5703125" style="112" hidden="1" customWidth="1"/>
    <col min="8192" max="8192" width="7.5703125" style="112" customWidth="1"/>
    <col min="8193" max="8193" width="15.28515625" style="112" customWidth="1"/>
    <col min="8194" max="8194" width="11.42578125" style="112" customWidth="1"/>
    <col min="8195" max="8200" width="11.5703125" style="112" hidden="1" customWidth="1"/>
    <col min="8201" max="8201" width="18.140625" style="112" customWidth="1"/>
    <col min="8202" max="8202" width="14.85546875" style="112" customWidth="1"/>
    <col min="8203" max="8203" width="14.28515625" style="112" customWidth="1"/>
    <col min="8204" max="8204" width="3.5703125" style="112" customWidth="1"/>
    <col min="8205" max="8205" width="12.42578125" style="112" customWidth="1"/>
    <col min="8206" max="8206" width="14" style="112" customWidth="1"/>
    <col min="8207" max="8208" width="18.140625" style="112" customWidth="1"/>
    <col min="8209" max="8209" width="13.42578125" style="112" customWidth="1"/>
    <col min="8210" max="8210" width="18.140625" style="112" customWidth="1"/>
    <col min="8211" max="8214" width="11.42578125" style="112" customWidth="1"/>
    <col min="8215" max="8217" width="12.28515625" style="112" customWidth="1"/>
    <col min="8218" max="8218" width="12" style="112" customWidth="1"/>
    <col min="8219" max="8219" width="11.42578125" style="112" customWidth="1"/>
    <col min="8220" max="8221" width="12.28515625" style="112" customWidth="1"/>
    <col min="8222" max="8222" width="13.140625" style="112" customWidth="1"/>
    <col min="8223" max="8223" width="13.5703125" style="112" customWidth="1"/>
    <col min="8224" max="8224" width="17.28515625" style="112" customWidth="1"/>
    <col min="8225" max="8225" width="13.85546875" style="112" customWidth="1"/>
    <col min="8226" max="8226" width="13.140625" style="112" customWidth="1"/>
    <col min="8227" max="8227" width="14.42578125" style="112" customWidth="1"/>
    <col min="8228" max="8229" width="13.5703125" style="112" customWidth="1"/>
    <col min="8230" max="8231" width="13.140625" style="112" customWidth="1"/>
    <col min="8232" max="8232" width="13.85546875" style="112" customWidth="1"/>
    <col min="8233" max="8233" width="13.5703125" style="112" customWidth="1"/>
    <col min="8234" max="8234" width="17.28515625" style="112" customWidth="1"/>
    <col min="8235" max="8235" width="13.85546875" style="112" customWidth="1"/>
    <col min="8236" max="8236" width="13.5703125" style="112" customWidth="1"/>
    <col min="8237" max="8237" width="13.85546875" style="112" customWidth="1"/>
    <col min="8238" max="8238" width="13.5703125" style="112" customWidth="1"/>
    <col min="8239" max="8239" width="17" style="112" customWidth="1"/>
    <col min="8240" max="8240" width="13.5703125" style="112" customWidth="1"/>
    <col min="8241" max="8241" width="17.85546875" style="112" customWidth="1"/>
    <col min="8242" max="8245" width="13.5703125" style="112" customWidth="1"/>
    <col min="8246" max="8246" width="14.28515625" style="112" customWidth="1"/>
    <col min="8247" max="8247" width="14.5703125" style="112" customWidth="1"/>
    <col min="8248" max="8248" width="14.28515625" style="112" customWidth="1"/>
    <col min="8249" max="8249" width="14.5703125" style="112" customWidth="1"/>
    <col min="8250" max="8250" width="14.28515625" style="112" customWidth="1"/>
    <col min="8251" max="8254" width="14.5703125" style="112" customWidth="1"/>
    <col min="8255" max="8256" width="14.28515625" style="112" customWidth="1"/>
    <col min="8257" max="8436" width="11.42578125" style="112" customWidth="1"/>
    <col min="8437" max="8437" width="7.85546875" style="112" customWidth="1"/>
    <col min="8438" max="8439" width="11.42578125" style="112" customWidth="1"/>
    <col min="8440" max="8440" width="12.42578125" style="112" customWidth="1"/>
    <col min="8441" max="8441" width="6.28515625" style="112" customWidth="1"/>
    <col min="8442" max="8442" width="11" style="112" customWidth="1"/>
    <col min="8443" max="8447" width="11.5703125" style="112" hidden="1" customWidth="1"/>
    <col min="8448" max="8448" width="7.5703125" style="112" customWidth="1"/>
    <col min="8449" max="8449" width="15.28515625" style="112" customWidth="1"/>
    <col min="8450" max="8450" width="11.42578125" style="112" customWidth="1"/>
    <col min="8451" max="8456" width="11.5703125" style="112" hidden="1" customWidth="1"/>
    <col min="8457" max="8457" width="18.140625" style="112" customWidth="1"/>
    <col min="8458" max="8458" width="14.85546875" style="112" customWidth="1"/>
    <col min="8459" max="8459" width="14.28515625" style="112" customWidth="1"/>
    <col min="8460" max="8460" width="3.5703125" style="112" customWidth="1"/>
    <col min="8461" max="8461" width="12.42578125" style="112" customWidth="1"/>
    <col min="8462" max="8462" width="14" style="112" customWidth="1"/>
    <col min="8463" max="8464" width="18.140625" style="112" customWidth="1"/>
    <col min="8465" max="8465" width="13.42578125" style="112" customWidth="1"/>
    <col min="8466" max="8466" width="18.140625" style="112" customWidth="1"/>
    <col min="8467" max="8470" width="11.42578125" style="112" customWidth="1"/>
    <col min="8471" max="8473" width="12.28515625" style="112" customWidth="1"/>
    <col min="8474" max="8474" width="12" style="112" customWidth="1"/>
    <col min="8475" max="8475" width="11.42578125" style="112" customWidth="1"/>
    <col min="8476" max="8477" width="12.28515625" style="112" customWidth="1"/>
    <col min="8478" max="8478" width="13.140625" style="112" customWidth="1"/>
    <col min="8479" max="8479" width="13.5703125" style="112" customWidth="1"/>
    <col min="8480" max="8480" width="17.28515625" style="112" customWidth="1"/>
    <col min="8481" max="8481" width="13.85546875" style="112" customWidth="1"/>
    <col min="8482" max="8482" width="13.140625" style="112" customWidth="1"/>
    <col min="8483" max="8483" width="14.42578125" style="112" customWidth="1"/>
    <col min="8484" max="8485" width="13.5703125" style="112" customWidth="1"/>
    <col min="8486" max="8487" width="13.140625" style="112" customWidth="1"/>
    <col min="8488" max="8488" width="13.85546875" style="112" customWidth="1"/>
    <col min="8489" max="8489" width="13.5703125" style="112" customWidth="1"/>
    <col min="8490" max="8490" width="17.28515625" style="112" customWidth="1"/>
    <col min="8491" max="8491" width="13.85546875" style="112" customWidth="1"/>
    <col min="8492" max="8492" width="13.5703125" style="112" customWidth="1"/>
    <col min="8493" max="8493" width="13.85546875" style="112" customWidth="1"/>
    <col min="8494" max="8494" width="13.5703125" style="112" customWidth="1"/>
    <col min="8495" max="8495" width="17" style="112" customWidth="1"/>
    <col min="8496" max="8496" width="13.5703125" style="112" customWidth="1"/>
    <col min="8497" max="8497" width="17.85546875" style="112" customWidth="1"/>
    <col min="8498" max="8501" width="13.5703125" style="112" customWidth="1"/>
    <col min="8502" max="8502" width="14.28515625" style="112" customWidth="1"/>
    <col min="8503" max="8503" width="14.5703125" style="112" customWidth="1"/>
    <col min="8504" max="8504" width="14.28515625" style="112" customWidth="1"/>
    <col min="8505" max="8505" width="14.5703125" style="112" customWidth="1"/>
    <col min="8506" max="8506" width="14.28515625" style="112" customWidth="1"/>
    <col min="8507" max="8510" width="14.5703125" style="112" customWidth="1"/>
    <col min="8511" max="8512" width="14.28515625" style="112" customWidth="1"/>
    <col min="8513" max="8692" width="11.42578125" style="112" customWidth="1"/>
    <col min="8693" max="8693" width="7.85546875" style="112" customWidth="1"/>
    <col min="8694" max="8695" width="11.42578125" style="112" customWidth="1"/>
    <col min="8696" max="8696" width="12.42578125" style="112" customWidth="1"/>
    <col min="8697" max="8697" width="6.28515625" style="112" customWidth="1"/>
    <col min="8698" max="8698" width="11" style="112" customWidth="1"/>
    <col min="8699" max="8703" width="11.5703125" style="112" hidden="1" customWidth="1"/>
    <col min="8704" max="8704" width="7.5703125" style="112" customWidth="1"/>
    <col min="8705" max="8705" width="15.28515625" style="112" customWidth="1"/>
    <col min="8706" max="8706" width="11.42578125" style="112" customWidth="1"/>
    <col min="8707" max="8712" width="11.5703125" style="112" hidden="1" customWidth="1"/>
    <col min="8713" max="8713" width="18.140625" style="112" customWidth="1"/>
    <col min="8714" max="8714" width="14.85546875" style="112" customWidth="1"/>
    <col min="8715" max="8715" width="14.28515625" style="112" customWidth="1"/>
    <col min="8716" max="8716" width="3.5703125" style="112" customWidth="1"/>
    <col min="8717" max="8717" width="12.42578125" style="112" customWidth="1"/>
    <col min="8718" max="8718" width="14" style="112" customWidth="1"/>
    <col min="8719" max="8720" width="18.140625" style="112" customWidth="1"/>
    <col min="8721" max="8721" width="13.42578125" style="112" customWidth="1"/>
    <col min="8722" max="8722" width="18.140625" style="112" customWidth="1"/>
    <col min="8723" max="8726" width="11.42578125" style="112" customWidth="1"/>
    <col min="8727" max="8729" width="12.28515625" style="112" customWidth="1"/>
    <col min="8730" max="8730" width="12" style="112" customWidth="1"/>
    <col min="8731" max="8731" width="11.42578125" style="112" customWidth="1"/>
    <col min="8732" max="8733" width="12.28515625" style="112" customWidth="1"/>
    <col min="8734" max="8734" width="13.140625" style="112" customWidth="1"/>
    <col min="8735" max="8735" width="13.5703125" style="112" customWidth="1"/>
    <col min="8736" max="8736" width="17.28515625" style="112" customWidth="1"/>
    <col min="8737" max="8737" width="13.85546875" style="112" customWidth="1"/>
    <col min="8738" max="8738" width="13.140625" style="112" customWidth="1"/>
    <col min="8739" max="8739" width="14.42578125" style="112" customWidth="1"/>
    <col min="8740" max="8741" width="13.5703125" style="112" customWidth="1"/>
    <col min="8742" max="8743" width="13.140625" style="112" customWidth="1"/>
    <col min="8744" max="8744" width="13.85546875" style="112" customWidth="1"/>
    <col min="8745" max="8745" width="13.5703125" style="112" customWidth="1"/>
    <col min="8746" max="8746" width="17.28515625" style="112" customWidth="1"/>
    <col min="8747" max="8747" width="13.85546875" style="112" customWidth="1"/>
    <col min="8748" max="8748" width="13.5703125" style="112" customWidth="1"/>
    <col min="8749" max="8749" width="13.85546875" style="112" customWidth="1"/>
    <col min="8750" max="8750" width="13.5703125" style="112" customWidth="1"/>
    <col min="8751" max="8751" width="17" style="112" customWidth="1"/>
    <col min="8752" max="8752" width="13.5703125" style="112" customWidth="1"/>
    <col min="8753" max="8753" width="17.85546875" style="112" customWidth="1"/>
    <col min="8754" max="8757" width="13.5703125" style="112" customWidth="1"/>
    <col min="8758" max="8758" width="14.28515625" style="112" customWidth="1"/>
    <col min="8759" max="8759" width="14.5703125" style="112" customWidth="1"/>
    <col min="8760" max="8760" width="14.28515625" style="112" customWidth="1"/>
    <col min="8761" max="8761" width="14.5703125" style="112" customWidth="1"/>
    <col min="8762" max="8762" width="14.28515625" style="112" customWidth="1"/>
    <col min="8763" max="8766" width="14.5703125" style="112" customWidth="1"/>
    <col min="8767" max="8768" width="14.28515625" style="112" customWidth="1"/>
    <col min="8769" max="8948" width="11.42578125" style="112" customWidth="1"/>
    <col min="8949" max="8949" width="7.85546875" style="112" customWidth="1"/>
    <col min="8950" max="8951" width="11.42578125" style="112" customWidth="1"/>
    <col min="8952" max="8952" width="12.42578125" style="112" customWidth="1"/>
    <col min="8953" max="8953" width="6.28515625" style="112" customWidth="1"/>
    <col min="8954" max="8954" width="11" style="112" customWidth="1"/>
    <col min="8955" max="8959" width="11.5703125" style="112" hidden="1" customWidth="1"/>
    <col min="8960" max="8960" width="7.5703125" style="112" customWidth="1"/>
    <col min="8961" max="8961" width="15.28515625" style="112" customWidth="1"/>
    <col min="8962" max="8962" width="11.42578125" style="112" customWidth="1"/>
    <col min="8963" max="8968" width="11.5703125" style="112" hidden="1" customWidth="1"/>
    <col min="8969" max="8969" width="18.140625" style="112" customWidth="1"/>
    <col min="8970" max="8970" width="14.85546875" style="112" customWidth="1"/>
    <col min="8971" max="8971" width="14.28515625" style="112" customWidth="1"/>
    <col min="8972" max="8972" width="3.5703125" style="112" customWidth="1"/>
    <col min="8973" max="8973" width="12.42578125" style="112" customWidth="1"/>
    <col min="8974" max="8974" width="14" style="112" customWidth="1"/>
    <col min="8975" max="8976" width="18.140625" style="112" customWidth="1"/>
    <col min="8977" max="8977" width="13.42578125" style="112" customWidth="1"/>
    <col min="8978" max="8978" width="18.140625" style="112" customWidth="1"/>
    <col min="8979" max="8982" width="11.42578125" style="112" customWidth="1"/>
    <col min="8983" max="8985" width="12.28515625" style="112" customWidth="1"/>
    <col min="8986" max="8986" width="12" style="112" customWidth="1"/>
    <col min="8987" max="8987" width="11.42578125" style="112" customWidth="1"/>
    <col min="8988" max="8989" width="12.28515625" style="112" customWidth="1"/>
    <col min="8990" max="8990" width="13.140625" style="112" customWidth="1"/>
    <col min="8991" max="8991" width="13.5703125" style="112" customWidth="1"/>
    <col min="8992" max="8992" width="17.28515625" style="112" customWidth="1"/>
    <col min="8993" max="8993" width="13.85546875" style="112" customWidth="1"/>
    <col min="8994" max="8994" width="13.140625" style="112" customWidth="1"/>
    <col min="8995" max="8995" width="14.42578125" style="112" customWidth="1"/>
    <col min="8996" max="8997" width="13.5703125" style="112" customWidth="1"/>
    <col min="8998" max="8999" width="13.140625" style="112" customWidth="1"/>
    <col min="9000" max="9000" width="13.85546875" style="112" customWidth="1"/>
    <col min="9001" max="9001" width="13.5703125" style="112" customWidth="1"/>
    <col min="9002" max="9002" width="17.28515625" style="112" customWidth="1"/>
    <col min="9003" max="9003" width="13.85546875" style="112" customWidth="1"/>
    <col min="9004" max="9004" width="13.5703125" style="112" customWidth="1"/>
    <col min="9005" max="9005" width="13.85546875" style="112" customWidth="1"/>
    <col min="9006" max="9006" width="13.5703125" style="112" customWidth="1"/>
    <col min="9007" max="9007" width="17" style="112" customWidth="1"/>
    <col min="9008" max="9008" width="13.5703125" style="112" customWidth="1"/>
    <col min="9009" max="9009" width="17.85546875" style="112" customWidth="1"/>
    <col min="9010" max="9013" width="13.5703125" style="112" customWidth="1"/>
    <col min="9014" max="9014" width="14.28515625" style="112" customWidth="1"/>
    <col min="9015" max="9015" width="14.5703125" style="112" customWidth="1"/>
    <col min="9016" max="9016" width="14.28515625" style="112" customWidth="1"/>
    <col min="9017" max="9017" width="14.5703125" style="112" customWidth="1"/>
    <col min="9018" max="9018" width="14.28515625" style="112" customWidth="1"/>
    <col min="9019" max="9022" width="14.5703125" style="112" customWidth="1"/>
    <col min="9023" max="9024" width="14.28515625" style="112" customWidth="1"/>
    <col min="9025" max="9204" width="11.42578125" style="112" customWidth="1"/>
    <col min="9205" max="9205" width="7.85546875" style="112" customWidth="1"/>
    <col min="9206" max="9207" width="11.42578125" style="112" customWidth="1"/>
    <col min="9208" max="9208" width="12.42578125" style="112" customWidth="1"/>
    <col min="9209" max="9209" width="6.28515625" style="112" customWidth="1"/>
    <col min="9210" max="9210" width="11" style="112" customWidth="1"/>
    <col min="9211" max="9215" width="11.5703125" style="112" hidden="1" customWidth="1"/>
    <col min="9216" max="9216" width="7.5703125" style="112" customWidth="1"/>
    <col min="9217" max="9217" width="15.28515625" style="112" customWidth="1"/>
    <col min="9218" max="9218" width="11.42578125" style="112" customWidth="1"/>
    <col min="9219" max="9224" width="11.5703125" style="112" hidden="1" customWidth="1"/>
    <col min="9225" max="9225" width="18.140625" style="112" customWidth="1"/>
    <col min="9226" max="9226" width="14.85546875" style="112" customWidth="1"/>
    <col min="9227" max="9227" width="14.28515625" style="112" customWidth="1"/>
    <col min="9228" max="9228" width="3.5703125" style="112" customWidth="1"/>
    <col min="9229" max="9229" width="12.42578125" style="112" customWidth="1"/>
    <col min="9230" max="9230" width="14" style="112" customWidth="1"/>
    <col min="9231" max="9232" width="18.140625" style="112" customWidth="1"/>
    <col min="9233" max="9233" width="13.42578125" style="112" customWidth="1"/>
    <col min="9234" max="9234" width="18.140625" style="112" customWidth="1"/>
    <col min="9235" max="9238" width="11.42578125" style="112" customWidth="1"/>
    <col min="9239" max="9241" width="12.28515625" style="112" customWidth="1"/>
    <col min="9242" max="9242" width="12" style="112" customWidth="1"/>
    <col min="9243" max="9243" width="11.42578125" style="112" customWidth="1"/>
    <col min="9244" max="9245" width="12.28515625" style="112" customWidth="1"/>
    <col min="9246" max="9246" width="13.140625" style="112" customWidth="1"/>
    <col min="9247" max="9247" width="13.5703125" style="112" customWidth="1"/>
    <col min="9248" max="9248" width="17.28515625" style="112" customWidth="1"/>
    <col min="9249" max="9249" width="13.85546875" style="112" customWidth="1"/>
    <col min="9250" max="9250" width="13.140625" style="112" customWidth="1"/>
    <col min="9251" max="9251" width="14.42578125" style="112" customWidth="1"/>
    <col min="9252" max="9253" width="13.5703125" style="112" customWidth="1"/>
    <col min="9254" max="9255" width="13.140625" style="112" customWidth="1"/>
    <col min="9256" max="9256" width="13.85546875" style="112" customWidth="1"/>
    <col min="9257" max="9257" width="13.5703125" style="112" customWidth="1"/>
    <col min="9258" max="9258" width="17.28515625" style="112" customWidth="1"/>
    <col min="9259" max="9259" width="13.85546875" style="112" customWidth="1"/>
    <col min="9260" max="9260" width="13.5703125" style="112" customWidth="1"/>
    <col min="9261" max="9261" width="13.85546875" style="112" customWidth="1"/>
    <col min="9262" max="9262" width="13.5703125" style="112" customWidth="1"/>
    <col min="9263" max="9263" width="17" style="112" customWidth="1"/>
    <col min="9264" max="9264" width="13.5703125" style="112" customWidth="1"/>
    <col min="9265" max="9265" width="17.85546875" style="112" customWidth="1"/>
    <col min="9266" max="9269" width="13.5703125" style="112" customWidth="1"/>
    <col min="9270" max="9270" width="14.28515625" style="112" customWidth="1"/>
    <col min="9271" max="9271" width="14.5703125" style="112" customWidth="1"/>
    <col min="9272" max="9272" width="14.28515625" style="112" customWidth="1"/>
    <col min="9273" max="9273" width="14.5703125" style="112" customWidth="1"/>
    <col min="9274" max="9274" width="14.28515625" style="112" customWidth="1"/>
    <col min="9275" max="9278" width="14.5703125" style="112" customWidth="1"/>
    <col min="9279" max="9280" width="14.28515625" style="112" customWidth="1"/>
    <col min="9281" max="9460" width="11.42578125" style="112" customWidth="1"/>
    <col min="9461" max="9461" width="7.85546875" style="112" customWidth="1"/>
    <col min="9462" max="9463" width="11.42578125" style="112" customWidth="1"/>
    <col min="9464" max="9464" width="12.42578125" style="112" customWidth="1"/>
    <col min="9465" max="9465" width="6.28515625" style="112" customWidth="1"/>
    <col min="9466" max="9466" width="11" style="112" customWidth="1"/>
    <col min="9467" max="9471" width="11.5703125" style="112" hidden="1" customWidth="1"/>
    <col min="9472" max="9472" width="7.5703125" style="112" customWidth="1"/>
    <col min="9473" max="9473" width="15.28515625" style="112" customWidth="1"/>
    <col min="9474" max="9474" width="11.42578125" style="112" customWidth="1"/>
    <col min="9475" max="9480" width="11.5703125" style="112" hidden="1" customWidth="1"/>
    <col min="9481" max="9481" width="18.140625" style="112" customWidth="1"/>
    <col min="9482" max="9482" width="14.85546875" style="112" customWidth="1"/>
    <col min="9483" max="9483" width="14.28515625" style="112" customWidth="1"/>
    <col min="9484" max="9484" width="3.5703125" style="112" customWidth="1"/>
    <col min="9485" max="9485" width="12.42578125" style="112" customWidth="1"/>
    <col min="9486" max="9486" width="14" style="112" customWidth="1"/>
    <col min="9487" max="9488" width="18.140625" style="112" customWidth="1"/>
    <col min="9489" max="9489" width="13.42578125" style="112" customWidth="1"/>
    <col min="9490" max="9490" width="18.140625" style="112" customWidth="1"/>
    <col min="9491" max="9494" width="11.42578125" style="112" customWidth="1"/>
    <col min="9495" max="9497" width="12.28515625" style="112" customWidth="1"/>
    <col min="9498" max="9498" width="12" style="112" customWidth="1"/>
    <col min="9499" max="9499" width="11.42578125" style="112" customWidth="1"/>
    <col min="9500" max="9501" width="12.28515625" style="112" customWidth="1"/>
    <col min="9502" max="9502" width="13.140625" style="112" customWidth="1"/>
    <col min="9503" max="9503" width="13.5703125" style="112" customWidth="1"/>
    <col min="9504" max="9504" width="17.28515625" style="112" customWidth="1"/>
    <col min="9505" max="9505" width="13.85546875" style="112" customWidth="1"/>
    <col min="9506" max="9506" width="13.140625" style="112" customWidth="1"/>
    <col min="9507" max="9507" width="14.42578125" style="112" customWidth="1"/>
    <col min="9508" max="9509" width="13.5703125" style="112" customWidth="1"/>
    <col min="9510" max="9511" width="13.140625" style="112" customWidth="1"/>
    <col min="9512" max="9512" width="13.85546875" style="112" customWidth="1"/>
    <col min="9513" max="9513" width="13.5703125" style="112" customWidth="1"/>
    <col min="9514" max="9514" width="17.28515625" style="112" customWidth="1"/>
    <col min="9515" max="9515" width="13.85546875" style="112" customWidth="1"/>
    <col min="9516" max="9516" width="13.5703125" style="112" customWidth="1"/>
    <col min="9517" max="9517" width="13.85546875" style="112" customWidth="1"/>
    <col min="9518" max="9518" width="13.5703125" style="112" customWidth="1"/>
    <col min="9519" max="9519" width="17" style="112" customWidth="1"/>
    <col min="9520" max="9520" width="13.5703125" style="112" customWidth="1"/>
    <col min="9521" max="9521" width="17.85546875" style="112" customWidth="1"/>
    <col min="9522" max="9525" width="13.5703125" style="112" customWidth="1"/>
    <col min="9526" max="9526" width="14.28515625" style="112" customWidth="1"/>
    <col min="9527" max="9527" width="14.5703125" style="112" customWidth="1"/>
    <col min="9528" max="9528" width="14.28515625" style="112" customWidth="1"/>
    <col min="9529" max="9529" width="14.5703125" style="112" customWidth="1"/>
    <col min="9530" max="9530" width="14.28515625" style="112" customWidth="1"/>
    <col min="9531" max="9534" width="14.5703125" style="112" customWidth="1"/>
    <col min="9535" max="9536" width="14.28515625" style="112" customWidth="1"/>
    <col min="9537" max="9716" width="11.42578125" style="112" customWidth="1"/>
    <col min="9717" max="9717" width="7.85546875" style="112" customWidth="1"/>
    <col min="9718" max="9719" width="11.42578125" style="112" customWidth="1"/>
    <col min="9720" max="9720" width="12.42578125" style="112" customWidth="1"/>
    <col min="9721" max="9721" width="6.28515625" style="112" customWidth="1"/>
    <col min="9722" max="9722" width="11" style="112" customWidth="1"/>
    <col min="9723" max="9727" width="11.5703125" style="112" hidden="1" customWidth="1"/>
    <col min="9728" max="9728" width="7.5703125" style="112" customWidth="1"/>
    <col min="9729" max="9729" width="15.28515625" style="112" customWidth="1"/>
    <col min="9730" max="9730" width="11.42578125" style="112" customWidth="1"/>
    <col min="9731" max="9736" width="11.5703125" style="112" hidden="1" customWidth="1"/>
    <col min="9737" max="9737" width="18.140625" style="112" customWidth="1"/>
    <col min="9738" max="9738" width="14.85546875" style="112" customWidth="1"/>
    <col min="9739" max="9739" width="14.28515625" style="112" customWidth="1"/>
    <col min="9740" max="9740" width="3.5703125" style="112" customWidth="1"/>
    <col min="9741" max="9741" width="12.42578125" style="112" customWidth="1"/>
    <col min="9742" max="9742" width="14" style="112" customWidth="1"/>
    <col min="9743" max="9744" width="18.140625" style="112" customWidth="1"/>
    <col min="9745" max="9745" width="13.42578125" style="112" customWidth="1"/>
    <col min="9746" max="9746" width="18.140625" style="112" customWidth="1"/>
    <col min="9747" max="9750" width="11.42578125" style="112" customWidth="1"/>
    <col min="9751" max="9753" width="12.28515625" style="112" customWidth="1"/>
    <col min="9754" max="9754" width="12" style="112" customWidth="1"/>
    <col min="9755" max="9755" width="11.42578125" style="112" customWidth="1"/>
    <col min="9756" max="9757" width="12.28515625" style="112" customWidth="1"/>
    <col min="9758" max="9758" width="13.140625" style="112" customWidth="1"/>
    <col min="9759" max="9759" width="13.5703125" style="112" customWidth="1"/>
    <col min="9760" max="9760" width="17.28515625" style="112" customWidth="1"/>
    <col min="9761" max="9761" width="13.85546875" style="112" customWidth="1"/>
    <col min="9762" max="9762" width="13.140625" style="112" customWidth="1"/>
    <col min="9763" max="9763" width="14.42578125" style="112" customWidth="1"/>
    <col min="9764" max="9765" width="13.5703125" style="112" customWidth="1"/>
    <col min="9766" max="9767" width="13.140625" style="112" customWidth="1"/>
    <col min="9768" max="9768" width="13.85546875" style="112" customWidth="1"/>
    <col min="9769" max="9769" width="13.5703125" style="112" customWidth="1"/>
    <col min="9770" max="9770" width="17.28515625" style="112" customWidth="1"/>
    <col min="9771" max="9771" width="13.85546875" style="112" customWidth="1"/>
    <col min="9772" max="9772" width="13.5703125" style="112" customWidth="1"/>
    <col min="9773" max="9773" width="13.85546875" style="112" customWidth="1"/>
    <col min="9774" max="9774" width="13.5703125" style="112" customWidth="1"/>
    <col min="9775" max="9775" width="17" style="112" customWidth="1"/>
    <col min="9776" max="9776" width="13.5703125" style="112" customWidth="1"/>
    <col min="9777" max="9777" width="17.85546875" style="112" customWidth="1"/>
    <col min="9778" max="9781" width="13.5703125" style="112" customWidth="1"/>
    <col min="9782" max="9782" width="14.28515625" style="112" customWidth="1"/>
    <col min="9783" max="9783" width="14.5703125" style="112" customWidth="1"/>
    <col min="9784" max="9784" width="14.28515625" style="112" customWidth="1"/>
    <col min="9785" max="9785" width="14.5703125" style="112" customWidth="1"/>
    <col min="9786" max="9786" width="14.28515625" style="112" customWidth="1"/>
    <col min="9787" max="9790" width="14.5703125" style="112" customWidth="1"/>
    <col min="9791" max="9792" width="14.28515625" style="112" customWidth="1"/>
    <col min="9793" max="9972" width="11.42578125" style="112" customWidth="1"/>
    <col min="9973" max="9973" width="7.85546875" style="112" customWidth="1"/>
    <col min="9974" max="9975" width="11.42578125" style="112" customWidth="1"/>
    <col min="9976" max="9976" width="12.42578125" style="112" customWidth="1"/>
    <col min="9977" max="9977" width="6.28515625" style="112" customWidth="1"/>
    <col min="9978" max="9978" width="11" style="112" customWidth="1"/>
    <col min="9979" max="9983" width="11.5703125" style="112" hidden="1" customWidth="1"/>
    <col min="9984" max="9984" width="7.5703125" style="112" customWidth="1"/>
    <col min="9985" max="9985" width="15.28515625" style="112" customWidth="1"/>
    <col min="9986" max="9986" width="11.42578125" style="112" customWidth="1"/>
    <col min="9987" max="9992" width="11.5703125" style="112" hidden="1" customWidth="1"/>
    <col min="9993" max="9993" width="18.140625" style="112" customWidth="1"/>
    <col min="9994" max="9994" width="14.85546875" style="112" customWidth="1"/>
    <col min="9995" max="9995" width="14.28515625" style="112" customWidth="1"/>
    <col min="9996" max="9996" width="3.5703125" style="112" customWidth="1"/>
    <col min="9997" max="9997" width="12.42578125" style="112" customWidth="1"/>
    <col min="9998" max="9998" width="14" style="112" customWidth="1"/>
    <col min="9999" max="10000" width="18.140625" style="112" customWidth="1"/>
    <col min="10001" max="10001" width="13.42578125" style="112" customWidth="1"/>
    <col min="10002" max="10002" width="18.140625" style="112" customWidth="1"/>
    <col min="10003" max="10006" width="11.42578125" style="112" customWidth="1"/>
    <col min="10007" max="10009" width="12.28515625" style="112" customWidth="1"/>
    <col min="10010" max="10010" width="12" style="112" customWidth="1"/>
    <col min="10011" max="10011" width="11.42578125" style="112" customWidth="1"/>
    <col min="10012" max="10013" width="12.28515625" style="112" customWidth="1"/>
    <col min="10014" max="10014" width="13.140625" style="112" customWidth="1"/>
    <col min="10015" max="10015" width="13.5703125" style="112" customWidth="1"/>
    <col min="10016" max="10016" width="17.28515625" style="112" customWidth="1"/>
    <col min="10017" max="10017" width="13.85546875" style="112" customWidth="1"/>
    <col min="10018" max="10018" width="13.140625" style="112" customWidth="1"/>
    <col min="10019" max="10019" width="14.42578125" style="112" customWidth="1"/>
    <col min="10020" max="10021" width="13.5703125" style="112" customWidth="1"/>
    <col min="10022" max="10023" width="13.140625" style="112" customWidth="1"/>
    <col min="10024" max="10024" width="13.85546875" style="112" customWidth="1"/>
    <col min="10025" max="10025" width="13.5703125" style="112" customWidth="1"/>
    <col min="10026" max="10026" width="17.28515625" style="112" customWidth="1"/>
    <col min="10027" max="10027" width="13.85546875" style="112" customWidth="1"/>
    <col min="10028" max="10028" width="13.5703125" style="112" customWidth="1"/>
    <col min="10029" max="10029" width="13.85546875" style="112" customWidth="1"/>
    <col min="10030" max="10030" width="13.5703125" style="112" customWidth="1"/>
    <col min="10031" max="10031" width="17" style="112" customWidth="1"/>
    <col min="10032" max="10032" width="13.5703125" style="112" customWidth="1"/>
    <col min="10033" max="10033" width="17.85546875" style="112" customWidth="1"/>
    <col min="10034" max="10037" width="13.5703125" style="112" customWidth="1"/>
    <col min="10038" max="10038" width="14.28515625" style="112" customWidth="1"/>
    <col min="10039" max="10039" width="14.5703125" style="112" customWidth="1"/>
    <col min="10040" max="10040" width="14.28515625" style="112" customWidth="1"/>
    <col min="10041" max="10041" width="14.5703125" style="112" customWidth="1"/>
    <col min="10042" max="10042" width="14.28515625" style="112" customWidth="1"/>
    <col min="10043" max="10046" width="14.5703125" style="112" customWidth="1"/>
    <col min="10047" max="10048" width="14.28515625" style="112" customWidth="1"/>
    <col min="10049" max="10228" width="11.42578125" style="112" customWidth="1"/>
    <col min="10229" max="10229" width="7.85546875" style="112" customWidth="1"/>
    <col min="10230" max="10231" width="11.42578125" style="112" customWidth="1"/>
    <col min="10232" max="10232" width="12.42578125" style="112" customWidth="1"/>
    <col min="10233" max="10233" width="6.28515625" style="112" customWidth="1"/>
    <col min="10234" max="10234" width="11" style="112" customWidth="1"/>
    <col min="10235" max="10239" width="11.5703125" style="112" hidden="1" customWidth="1"/>
    <col min="10240" max="10240" width="7.5703125" style="112" customWidth="1"/>
    <col min="10241" max="10241" width="15.28515625" style="112" customWidth="1"/>
    <col min="10242" max="10242" width="11.42578125" style="112" customWidth="1"/>
    <col min="10243" max="10248" width="11.5703125" style="112" hidden="1" customWidth="1"/>
    <col min="10249" max="10249" width="18.140625" style="112" customWidth="1"/>
    <col min="10250" max="10250" width="14.85546875" style="112" customWidth="1"/>
    <col min="10251" max="10251" width="14.28515625" style="112" customWidth="1"/>
    <col min="10252" max="10252" width="3.5703125" style="112" customWidth="1"/>
    <col min="10253" max="10253" width="12.42578125" style="112" customWidth="1"/>
    <col min="10254" max="10254" width="14" style="112" customWidth="1"/>
    <col min="10255" max="10256" width="18.140625" style="112" customWidth="1"/>
    <col min="10257" max="10257" width="13.42578125" style="112" customWidth="1"/>
    <col min="10258" max="10258" width="18.140625" style="112" customWidth="1"/>
    <col min="10259" max="10262" width="11.42578125" style="112" customWidth="1"/>
    <col min="10263" max="10265" width="12.28515625" style="112" customWidth="1"/>
    <col min="10266" max="10266" width="12" style="112" customWidth="1"/>
    <col min="10267" max="10267" width="11.42578125" style="112" customWidth="1"/>
    <col min="10268" max="10269" width="12.28515625" style="112" customWidth="1"/>
    <col min="10270" max="10270" width="13.140625" style="112" customWidth="1"/>
    <col min="10271" max="10271" width="13.5703125" style="112" customWidth="1"/>
    <col min="10272" max="10272" width="17.28515625" style="112" customWidth="1"/>
    <col min="10273" max="10273" width="13.85546875" style="112" customWidth="1"/>
    <col min="10274" max="10274" width="13.140625" style="112" customWidth="1"/>
    <col min="10275" max="10275" width="14.42578125" style="112" customWidth="1"/>
    <col min="10276" max="10277" width="13.5703125" style="112" customWidth="1"/>
    <col min="10278" max="10279" width="13.140625" style="112" customWidth="1"/>
    <col min="10280" max="10280" width="13.85546875" style="112" customWidth="1"/>
    <col min="10281" max="10281" width="13.5703125" style="112" customWidth="1"/>
    <col min="10282" max="10282" width="17.28515625" style="112" customWidth="1"/>
    <col min="10283" max="10283" width="13.85546875" style="112" customWidth="1"/>
    <col min="10284" max="10284" width="13.5703125" style="112" customWidth="1"/>
    <col min="10285" max="10285" width="13.85546875" style="112" customWidth="1"/>
    <col min="10286" max="10286" width="13.5703125" style="112" customWidth="1"/>
    <col min="10287" max="10287" width="17" style="112" customWidth="1"/>
    <col min="10288" max="10288" width="13.5703125" style="112" customWidth="1"/>
    <col min="10289" max="10289" width="17.85546875" style="112" customWidth="1"/>
    <col min="10290" max="10293" width="13.5703125" style="112" customWidth="1"/>
    <col min="10294" max="10294" width="14.28515625" style="112" customWidth="1"/>
    <col min="10295" max="10295" width="14.5703125" style="112" customWidth="1"/>
    <col min="10296" max="10296" width="14.28515625" style="112" customWidth="1"/>
    <col min="10297" max="10297" width="14.5703125" style="112" customWidth="1"/>
    <col min="10298" max="10298" width="14.28515625" style="112" customWidth="1"/>
    <col min="10299" max="10302" width="14.5703125" style="112" customWidth="1"/>
    <col min="10303" max="10304" width="14.28515625" style="112" customWidth="1"/>
    <col min="10305" max="10484" width="11.42578125" style="112" customWidth="1"/>
    <col min="10485" max="10485" width="7.85546875" style="112" customWidth="1"/>
    <col min="10486" max="10487" width="11.42578125" style="112" customWidth="1"/>
    <col min="10488" max="10488" width="12.42578125" style="112" customWidth="1"/>
    <col min="10489" max="10489" width="6.28515625" style="112" customWidth="1"/>
    <col min="10490" max="10490" width="11" style="112" customWidth="1"/>
    <col min="10491" max="10495" width="11.5703125" style="112" hidden="1" customWidth="1"/>
    <col min="10496" max="10496" width="7.5703125" style="112" customWidth="1"/>
    <col min="10497" max="10497" width="15.28515625" style="112" customWidth="1"/>
    <col min="10498" max="10498" width="11.42578125" style="112" customWidth="1"/>
    <col min="10499" max="10504" width="11.5703125" style="112" hidden="1" customWidth="1"/>
    <col min="10505" max="10505" width="18.140625" style="112" customWidth="1"/>
    <col min="10506" max="10506" width="14.85546875" style="112" customWidth="1"/>
    <col min="10507" max="10507" width="14.28515625" style="112" customWidth="1"/>
    <col min="10508" max="10508" width="3.5703125" style="112" customWidth="1"/>
    <col min="10509" max="10509" width="12.42578125" style="112" customWidth="1"/>
    <col min="10510" max="10510" width="14" style="112" customWidth="1"/>
    <col min="10511" max="10512" width="18.140625" style="112" customWidth="1"/>
    <col min="10513" max="10513" width="13.42578125" style="112" customWidth="1"/>
    <col min="10514" max="10514" width="18.140625" style="112" customWidth="1"/>
    <col min="10515" max="10518" width="11.42578125" style="112" customWidth="1"/>
    <col min="10519" max="10521" width="12.28515625" style="112" customWidth="1"/>
    <col min="10522" max="10522" width="12" style="112" customWidth="1"/>
    <col min="10523" max="10523" width="11.42578125" style="112" customWidth="1"/>
    <col min="10524" max="10525" width="12.28515625" style="112" customWidth="1"/>
    <col min="10526" max="10526" width="13.140625" style="112" customWidth="1"/>
    <col min="10527" max="10527" width="13.5703125" style="112" customWidth="1"/>
    <col min="10528" max="10528" width="17.28515625" style="112" customWidth="1"/>
    <col min="10529" max="10529" width="13.85546875" style="112" customWidth="1"/>
    <col min="10530" max="10530" width="13.140625" style="112" customWidth="1"/>
    <col min="10531" max="10531" width="14.42578125" style="112" customWidth="1"/>
    <col min="10532" max="10533" width="13.5703125" style="112" customWidth="1"/>
    <col min="10534" max="10535" width="13.140625" style="112" customWidth="1"/>
    <col min="10536" max="10536" width="13.85546875" style="112" customWidth="1"/>
    <col min="10537" max="10537" width="13.5703125" style="112" customWidth="1"/>
    <col min="10538" max="10538" width="17.28515625" style="112" customWidth="1"/>
    <col min="10539" max="10539" width="13.85546875" style="112" customWidth="1"/>
    <col min="10540" max="10540" width="13.5703125" style="112" customWidth="1"/>
    <col min="10541" max="10541" width="13.85546875" style="112" customWidth="1"/>
    <col min="10542" max="10542" width="13.5703125" style="112" customWidth="1"/>
    <col min="10543" max="10543" width="17" style="112" customWidth="1"/>
    <col min="10544" max="10544" width="13.5703125" style="112" customWidth="1"/>
    <col min="10545" max="10545" width="17.85546875" style="112" customWidth="1"/>
    <col min="10546" max="10549" width="13.5703125" style="112" customWidth="1"/>
    <col min="10550" max="10550" width="14.28515625" style="112" customWidth="1"/>
    <col min="10551" max="10551" width="14.5703125" style="112" customWidth="1"/>
    <col min="10552" max="10552" width="14.28515625" style="112" customWidth="1"/>
    <col min="10553" max="10553" width="14.5703125" style="112" customWidth="1"/>
    <col min="10554" max="10554" width="14.28515625" style="112" customWidth="1"/>
    <col min="10555" max="10558" width="14.5703125" style="112" customWidth="1"/>
    <col min="10559" max="10560" width="14.28515625" style="112" customWidth="1"/>
    <col min="10561" max="10740" width="11.42578125" style="112" customWidth="1"/>
    <col min="10741" max="10741" width="7.85546875" style="112" customWidth="1"/>
    <col min="10742" max="10743" width="11.42578125" style="112" customWidth="1"/>
    <col min="10744" max="10744" width="12.42578125" style="112" customWidth="1"/>
    <col min="10745" max="10745" width="6.28515625" style="112" customWidth="1"/>
    <col min="10746" max="10746" width="11" style="112" customWidth="1"/>
    <col min="10747" max="10751" width="11.5703125" style="112" hidden="1" customWidth="1"/>
    <col min="10752" max="10752" width="7.5703125" style="112" customWidth="1"/>
    <col min="10753" max="10753" width="15.28515625" style="112" customWidth="1"/>
    <col min="10754" max="10754" width="11.42578125" style="112" customWidth="1"/>
    <col min="10755" max="10760" width="11.5703125" style="112" hidden="1" customWidth="1"/>
    <col min="10761" max="10761" width="18.140625" style="112" customWidth="1"/>
    <col min="10762" max="10762" width="14.85546875" style="112" customWidth="1"/>
    <col min="10763" max="10763" width="14.28515625" style="112" customWidth="1"/>
    <col min="10764" max="10764" width="3.5703125" style="112" customWidth="1"/>
    <col min="10765" max="10765" width="12.42578125" style="112" customWidth="1"/>
    <col min="10766" max="10766" width="14" style="112" customWidth="1"/>
    <col min="10767" max="10768" width="18.140625" style="112" customWidth="1"/>
    <col min="10769" max="10769" width="13.42578125" style="112" customWidth="1"/>
    <col min="10770" max="10770" width="18.140625" style="112" customWidth="1"/>
    <col min="10771" max="10774" width="11.42578125" style="112" customWidth="1"/>
    <col min="10775" max="10777" width="12.28515625" style="112" customWidth="1"/>
    <col min="10778" max="10778" width="12" style="112" customWidth="1"/>
    <col min="10779" max="10779" width="11.42578125" style="112" customWidth="1"/>
    <col min="10780" max="10781" width="12.28515625" style="112" customWidth="1"/>
    <col min="10782" max="10782" width="13.140625" style="112" customWidth="1"/>
    <col min="10783" max="10783" width="13.5703125" style="112" customWidth="1"/>
    <col min="10784" max="10784" width="17.28515625" style="112" customWidth="1"/>
    <col min="10785" max="10785" width="13.85546875" style="112" customWidth="1"/>
    <col min="10786" max="10786" width="13.140625" style="112" customWidth="1"/>
    <col min="10787" max="10787" width="14.42578125" style="112" customWidth="1"/>
    <col min="10788" max="10789" width="13.5703125" style="112" customWidth="1"/>
    <col min="10790" max="10791" width="13.140625" style="112" customWidth="1"/>
    <col min="10792" max="10792" width="13.85546875" style="112" customWidth="1"/>
    <col min="10793" max="10793" width="13.5703125" style="112" customWidth="1"/>
    <col min="10794" max="10794" width="17.28515625" style="112" customWidth="1"/>
    <col min="10795" max="10795" width="13.85546875" style="112" customWidth="1"/>
    <col min="10796" max="10796" width="13.5703125" style="112" customWidth="1"/>
    <col min="10797" max="10797" width="13.85546875" style="112" customWidth="1"/>
    <col min="10798" max="10798" width="13.5703125" style="112" customWidth="1"/>
    <col min="10799" max="10799" width="17" style="112" customWidth="1"/>
    <col min="10800" max="10800" width="13.5703125" style="112" customWidth="1"/>
    <col min="10801" max="10801" width="17.85546875" style="112" customWidth="1"/>
    <col min="10802" max="10805" width="13.5703125" style="112" customWidth="1"/>
    <col min="10806" max="10806" width="14.28515625" style="112" customWidth="1"/>
    <col min="10807" max="10807" width="14.5703125" style="112" customWidth="1"/>
    <col min="10808" max="10808" width="14.28515625" style="112" customWidth="1"/>
    <col min="10809" max="10809" width="14.5703125" style="112" customWidth="1"/>
    <col min="10810" max="10810" width="14.28515625" style="112" customWidth="1"/>
    <col min="10811" max="10814" width="14.5703125" style="112" customWidth="1"/>
    <col min="10815" max="10816" width="14.28515625" style="112" customWidth="1"/>
    <col min="10817" max="10996" width="11.42578125" style="112" customWidth="1"/>
    <col min="10997" max="10997" width="7.85546875" style="112" customWidth="1"/>
    <col min="10998" max="10999" width="11.42578125" style="112" customWidth="1"/>
    <col min="11000" max="11000" width="12.42578125" style="112" customWidth="1"/>
    <col min="11001" max="11001" width="6.28515625" style="112" customWidth="1"/>
    <col min="11002" max="11002" width="11" style="112" customWidth="1"/>
    <col min="11003" max="11007" width="11.5703125" style="112" hidden="1" customWidth="1"/>
    <col min="11008" max="11008" width="7.5703125" style="112" customWidth="1"/>
    <col min="11009" max="11009" width="15.28515625" style="112" customWidth="1"/>
    <col min="11010" max="11010" width="11.42578125" style="112" customWidth="1"/>
    <col min="11011" max="11016" width="11.5703125" style="112" hidden="1" customWidth="1"/>
    <col min="11017" max="11017" width="18.140625" style="112" customWidth="1"/>
    <col min="11018" max="11018" width="14.85546875" style="112" customWidth="1"/>
    <col min="11019" max="11019" width="14.28515625" style="112" customWidth="1"/>
    <col min="11020" max="11020" width="3.5703125" style="112" customWidth="1"/>
    <col min="11021" max="11021" width="12.42578125" style="112" customWidth="1"/>
    <col min="11022" max="11022" width="14" style="112" customWidth="1"/>
    <col min="11023" max="11024" width="18.140625" style="112" customWidth="1"/>
    <col min="11025" max="11025" width="13.42578125" style="112" customWidth="1"/>
    <col min="11026" max="11026" width="18.140625" style="112" customWidth="1"/>
    <col min="11027" max="11030" width="11.42578125" style="112" customWidth="1"/>
    <col min="11031" max="11033" width="12.28515625" style="112" customWidth="1"/>
    <col min="11034" max="11034" width="12" style="112" customWidth="1"/>
    <col min="11035" max="11035" width="11.42578125" style="112" customWidth="1"/>
    <col min="11036" max="11037" width="12.28515625" style="112" customWidth="1"/>
    <col min="11038" max="11038" width="13.140625" style="112" customWidth="1"/>
    <col min="11039" max="11039" width="13.5703125" style="112" customWidth="1"/>
    <col min="11040" max="11040" width="17.28515625" style="112" customWidth="1"/>
    <col min="11041" max="11041" width="13.85546875" style="112" customWidth="1"/>
    <col min="11042" max="11042" width="13.140625" style="112" customWidth="1"/>
    <col min="11043" max="11043" width="14.42578125" style="112" customWidth="1"/>
    <col min="11044" max="11045" width="13.5703125" style="112" customWidth="1"/>
    <col min="11046" max="11047" width="13.140625" style="112" customWidth="1"/>
    <col min="11048" max="11048" width="13.85546875" style="112" customWidth="1"/>
    <col min="11049" max="11049" width="13.5703125" style="112" customWidth="1"/>
    <col min="11050" max="11050" width="17.28515625" style="112" customWidth="1"/>
    <col min="11051" max="11051" width="13.85546875" style="112" customWidth="1"/>
    <col min="11052" max="11052" width="13.5703125" style="112" customWidth="1"/>
    <col min="11053" max="11053" width="13.85546875" style="112" customWidth="1"/>
    <col min="11054" max="11054" width="13.5703125" style="112" customWidth="1"/>
    <col min="11055" max="11055" width="17" style="112" customWidth="1"/>
    <col min="11056" max="11056" width="13.5703125" style="112" customWidth="1"/>
    <col min="11057" max="11057" width="17.85546875" style="112" customWidth="1"/>
    <col min="11058" max="11061" width="13.5703125" style="112" customWidth="1"/>
    <col min="11062" max="11062" width="14.28515625" style="112" customWidth="1"/>
    <col min="11063" max="11063" width="14.5703125" style="112" customWidth="1"/>
    <col min="11064" max="11064" width="14.28515625" style="112" customWidth="1"/>
    <col min="11065" max="11065" width="14.5703125" style="112" customWidth="1"/>
    <col min="11066" max="11066" width="14.28515625" style="112" customWidth="1"/>
    <col min="11067" max="11070" width="14.5703125" style="112" customWidth="1"/>
    <col min="11071" max="11072" width="14.28515625" style="112" customWidth="1"/>
    <col min="11073" max="11252" width="11.42578125" style="112" customWidth="1"/>
    <col min="11253" max="11253" width="7.85546875" style="112" customWidth="1"/>
    <col min="11254" max="11255" width="11.42578125" style="112" customWidth="1"/>
    <col min="11256" max="11256" width="12.42578125" style="112" customWidth="1"/>
    <col min="11257" max="11257" width="6.28515625" style="112" customWidth="1"/>
    <col min="11258" max="11258" width="11" style="112" customWidth="1"/>
    <col min="11259" max="11263" width="11.5703125" style="112" hidden="1" customWidth="1"/>
    <col min="11264" max="11264" width="7.5703125" style="112" customWidth="1"/>
    <col min="11265" max="11265" width="15.28515625" style="112" customWidth="1"/>
    <col min="11266" max="11266" width="11.42578125" style="112" customWidth="1"/>
    <col min="11267" max="11272" width="11.5703125" style="112" hidden="1" customWidth="1"/>
    <col min="11273" max="11273" width="18.140625" style="112" customWidth="1"/>
    <col min="11274" max="11274" width="14.85546875" style="112" customWidth="1"/>
    <col min="11275" max="11275" width="14.28515625" style="112" customWidth="1"/>
    <col min="11276" max="11276" width="3.5703125" style="112" customWidth="1"/>
    <col min="11277" max="11277" width="12.42578125" style="112" customWidth="1"/>
    <col min="11278" max="11278" width="14" style="112" customWidth="1"/>
    <col min="11279" max="11280" width="18.140625" style="112" customWidth="1"/>
    <col min="11281" max="11281" width="13.42578125" style="112" customWidth="1"/>
    <col min="11282" max="11282" width="18.140625" style="112" customWidth="1"/>
    <col min="11283" max="11286" width="11.42578125" style="112" customWidth="1"/>
    <col min="11287" max="11289" width="12.28515625" style="112" customWidth="1"/>
    <col min="11290" max="11290" width="12" style="112" customWidth="1"/>
    <col min="11291" max="11291" width="11.42578125" style="112" customWidth="1"/>
    <col min="11292" max="11293" width="12.28515625" style="112" customWidth="1"/>
    <col min="11294" max="11294" width="13.140625" style="112" customWidth="1"/>
    <col min="11295" max="11295" width="13.5703125" style="112" customWidth="1"/>
    <col min="11296" max="11296" width="17.28515625" style="112" customWidth="1"/>
    <col min="11297" max="11297" width="13.85546875" style="112" customWidth="1"/>
    <col min="11298" max="11298" width="13.140625" style="112" customWidth="1"/>
    <col min="11299" max="11299" width="14.42578125" style="112" customWidth="1"/>
    <col min="11300" max="11301" width="13.5703125" style="112" customWidth="1"/>
    <col min="11302" max="11303" width="13.140625" style="112" customWidth="1"/>
    <col min="11304" max="11304" width="13.85546875" style="112" customWidth="1"/>
    <col min="11305" max="11305" width="13.5703125" style="112" customWidth="1"/>
    <col min="11306" max="11306" width="17.28515625" style="112" customWidth="1"/>
    <col min="11307" max="11307" width="13.85546875" style="112" customWidth="1"/>
    <col min="11308" max="11308" width="13.5703125" style="112" customWidth="1"/>
    <col min="11309" max="11309" width="13.85546875" style="112" customWidth="1"/>
    <col min="11310" max="11310" width="13.5703125" style="112" customWidth="1"/>
    <col min="11311" max="11311" width="17" style="112" customWidth="1"/>
    <col min="11312" max="11312" width="13.5703125" style="112" customWidth="1"/>
    <col min="11313" max="11313" width="17.85546875" style="112" customWidth="1"/>
    <col min="11314" max="11317" width="13.5703125" style="112" customWidth="1"/>
    <col min="11318" max="11318" width="14.28515625" style="112" customWidth="1"/>
    <col min="11319" max="11319" width="14.5703125" style="112" customWidth="1"/>
    <col min="11320" max="11320" width="14.28515625" style="112" customWidth="1"/>
    <col min="11321" max="11321" width="14.5703125" style="112" customWidth="1"/>
    <col min="11322" max="11322" width="14.28515625" style="112" customWidth="1"/>
    <col min="11323" max="11326" width="14.5703125" style="112" customWidth="1"/>
    <col min="11327" max="11328" width="14.28515625" style="112" customWidth="1"/>
    <col min="11329" max="11508" width="11.42578125" style="112" customWidth="1"/>
    <col min="11509" max="11509" width="7.85546875" style="112" customWidth="1"/>
    <col min="11510" max="11511" width="11.42578125" style="112" customWidth="1"/>
    <col min="11512" max="11512" width="12.42578125" style="112" customWidth="1"/>
    <col min="11513" max="11513" width="6.28515625" style="112" customWidth="1"/>
    <col min="11514" max="11514" width="11" style="112" customWidth="1"/>
    <col min="11515" max="11519" width="11.5703125" style="112" hidden="1" customWidth="1"/>
    <col min="11520" max="11520" width="7.5703125" style="112" customWidth="1"/>
    <col min="11521" max="11521" width="15.28515625" style="112" customWidth="1"/>
    <col min="11522" max="11522" width="11.42578125" style="112" customWidth="1"/>
    <col min="11523" max="11528" width="11.5703125" style="112" hidden="1" customWidth="1"/>
    <col min="11529" max="11529" width="18.140625" style="112" customWidth="1"/>
    <col min="11530" max="11530" width="14.85546875" style="112" customWidth="1"/>
    <col min="11531" max="11531" width="14.28515625" style="112" customWidth="1"/>
    <col min="11532" max="11532" width="3.5703125" style="112" customWidth="1"/>
    <col min="11533" max="11533" width="12.42578125" style="112" customWidth="1"/>
    <col min="11534" max="11534" width="14" style="112" customWidth="1"/>
    <col min="11535" max="11536" width="18.140625" style="112" customWidth="1"/>
    <col min="11537" max="11537" width="13.42578125" style="112" customWidth="1"/>
    <col min="11538" max="11538" width="18.140625" style="112" customWidth="1"/>
    <col min="11539" max="11542" width="11.42578125" style="112" customWidth="1"/>
    <col min="11543" max="11545" width="12.28515625" style="112" customWidth="1"/>
    <col min="11546" max="11546" width="12" style="112" customWidth="1"/>
    <col min="11547" max="11547" width="11.42578125" style="112" customWidth="1"/>
    <col min="11548" max="11549" width="12.28515625" style="112" customWidth="1"/>
    <col min="11550" max="11550" width="13.140625" style="112" customWidth="1"/>
    <col min="11551" max="11551" width="13.5703125" style="112" customWidth="1"/>
    <col min="11552" max="11552" width="17.28515625" style="112" customWidth="1"/>
    <col min="11553" max="11553" width="13.85546875" style="112" customWidth="1"/>
    <col min="11554" max="11554" width="13.140625" style="112" customWidth="1"/>
    <col min="11555" max="11555" width="14.42578125" style="112" customWidth="1"/>
    <col min="11556" max="11557" width="13.5703125" style="112" customWidth="1"/>
    <col min="11558" max="11559" width="13.140625" style="112" customWidth="1"/>
    <col min="11560" max="11560" width="13.85546875" style="112" customWidth="1"/>
    <col min="11561" max="11561" width="13.5703125" style="112" customWidth="1"/>
    <col min="11562" max="11562" width="17.28515625" style="112" customWidth="1"/>
    <col min="11563" max="11563" width="13.85546875" style="112" customWidth="1"/>
    <col min="11564" max="11564" width="13.5703125" style="112" customWidth="1"/>
    <col min="11565" max="11565" width="13.85546875" style="112" customWidth="1"/>
    <col min="11566" max="11566" width="13.5703125" style="112" customWidth="1"/>
    <col min="11567" max="11567" width="17" style="112" customWidth="1"/>
    <col min="11568" max="11568" width="13.5703125" style="112" customWidth="1"/>
    <col min="11569" max="11569" width="17.85546875" style="112" customWidth="1"/>
    <col min="11570" max="11573" width="13.5703125" style="112" customWidth="1"/>
    <col min="11574" max="11574" width="14.28515625" style="112" customWidth="1"/>
    <col min="11575" max="11575" width="14.5703125" style="112" customWidth="1"/>
    <col min="11576" max="11576" width="14.28515625" style="112" customWidth="1"/>
    <col min="11577" max="11577" width="14.5703125" style="112" customWidth="1"/>
    <col min="11578" max="11578" width="14.28515625" style="112" customWidth="1"/>
    <col min="11579" max="11582" width="14.5703125" style="112" customWidth="1"/>
    <col min="11583" max="11584" width="14.28515625" style="112" customWidth="1"/>
    <col min="11585" max="11764" width="11.42578125" style="112" customWidth="1"/>
    <col min="11765" max="11765" width="7.85546875" style="112" customWidth="1"/>
    <col min="11766" max="11767" width="11.42578125" style="112" customWidth="1"/>
    <col min="11768" max="11768" width="12.42578125" style="112" customWidth="1"/>
    <col min="11769" max="11769" width="6.28515625" style="112" customWidth="1"/>
    <col min="11770" max="11770" width="11" style="112" customWidth="1"/>
    <col min="11771" max="11775" width="11.5703125" style="112" hidden="1" customWidth="1"/>
    <col min="11776" max="11776" width="7.5703125" style="112" customWidth="1"/>
    <col min="11777" max="11777" width="15.28515625" style="112" customWidth="1"/>
    <col min="11778" max="11778" width="11.42578125" style="112" customWidth="1"/>
    <col min="11779" max="11784" width="11.5703125" style="112" hidden="1" customWidth="1"/>
    <col min="11785" max="11785" width="18.140625" style="112" customWidth="1"/>
    <col min="11786" max="11786" width="14.85546875" style="112" customWidth="1"/>
    <col min="11787" max="11787" width="14.28515625" style="112" customWidth="1"/>
    <col min="11788" max="11788" width="3.5703125" style="112" customWidth="1"/>
    <col min="11789" max="11789" width="12.42578125" style="112" customWidth="1"/>
    <col min="11790" max="11790" width="14" style="112" customWidth="1"/>
    <col min="11791" max="11792" width="18.140625" style="112" customWidth="1"/>
    <col min="11793" max="11793" width="13.42578125" style="112" customWidth="1"/>
    <col min="11794" max="11794" width="18.140625" style="112" customWidth="1"/>
    <col min="11795" max="11798" width="11.42578125" style="112" customWidth="1"/>
    <col min="11799" max="11801" width="12.28515625" style="112" customWidth="1"/>
    <col min="11802" max="11802" width="12" style="112" customWidth="1"/>
    <col min="11803" max="11803" width="11.42578125" style="112" customWidth="1"/>
    <col min="11804" max="11805" width="12.28515625" style="112" customWidth="1"/>
    <col min="11806" max="11806" width="13.140625" style="112" customWidth="1"/>
    <col min="11807" max="11807" width="13.5703125" style="112" customWidth="1"/>
    <col min="11808" max="11808" width="17.28515625" style="112" customWidth="1"/>
    <col min="11809" max="11809" width="13.85546875" style="112" customWidth="1"/>
    <col min="11810" max="11810" width="13.140625" style="112" customWidth="1"/>
    <col min="11811" max="11811" width="14.42578125" style="112" customWidth="1"/>
    <col min="11812" max="11813" width="13.5703125" style="112" customWidth="1"/>
    <col min="11814" max="11815" width="13.140625" style="112" customWidth="1"/>
    <col min="11816" max="11816" width="13.85546875" style="112" customWidth="1"/>
    <col min="11817" max="11817" width="13.5703125" style="112" customWidth="1"/>
    <col min="11818" max="11818" width="17.28515625" style="112" customWidth="1"/>
    <col min="11819" max="11819" width="13.85546875" style="112" customWidth="1"/>
    <col min="11820" max="11820" width="13.5703125" style="112" customWidth="1"/>
    <col min="11821" max="11821" width="13.85546875" style="112" customWidth="1"/>
    <col min="11822" max="11822" width="13.5703125" style="112" customWidth="1"/>
    <col min="11823" max="11823" width="17" style="112" customWidth="1"/>
    <col min="11824" max="11824" width="13.5703125" style="112" customWidth="1"/>
    <col min="11825" max="11825" width="17.85546875" style="112" customWidth="1"/>
    <col min="11826" max="11829" width="13.5703125" style="112" customWidth="1"/>
    <col min="11830" max="11830" width="14.28515625" style="112" customWidth="1"/>
    <col min="11831" max="11831" width="14.5703125" style="112" customWidth="1"/>
    <col min="11832" max="11832" width="14.28515625" style="112" customWidth="1"/>
    <col min="11833" max="11833" width="14.5703125" style="112" customWidth="1"/>
    <col min="11834" max="11834" width="14.28515625" style="112" customWidth="1"/>
    <col min="11835" max="11838" width="14.5703125" style="112" customWidth="1"/>
    <col min="11839" max="11840" width="14.28515625" style="112" customWidth="1"/>
    <col min="11841" max="12020" width="11.42578125" style="112" customWidth="1"/>
    <col min="12021" max="12021" width="7.85546875" style="112" customWidth="1"/>
    <col min="12022" max="12023" width="11.42578125" style="112" customWidth="1"/>
    <col min="12024" max="12024" width="12.42578125" style="112" customWidth="1"/>
    <col min="12025" max="12025" width="6.28515625" style="112" customWidth="1"/>
    <col min="12026" max="12026" width="11" style="112" customWidth="1"/>
    <col min="12027" max="12031" width="11.5703125" style="112" hidden="1" customWidth="1"/>
    <col min="12032" max="12032" width="7.5703125" style="112" customWidth="1"/>
    <col min="12033" max="12033" width="15.28515625" style="112" customWidth="1"/>
    <col min="12034" max="12034" width="11.42578125" style="112" customWidth="1"/>
    <col min="12035" max="12040" width="11.5703125" style="112" hidden="1" customWidth="1"/>
    <col min="12041" max="12041" width="18.140625" style="112" customWidth="1"/>
    <col min="12042" max="12042" width="14.85546875" style="112" customWidth="1"/>
    <col min="12043" max="12043" width="14.28515625" style="112" customWidth="1"/>
    <col min="12044" max="12044" width="3.5703125" style="112" customWidth="1"/>
    <col min="12045" max="12045" width="12.42578125" style="112" customWidth="1"/>
    <col min="12046" max="12046" width="14" style="112" customWidth="1"/>
    <col min="12047" max="12048" width="18.140625" style="112" customWidth="1"/>
    <col min="12049" max="12049" width="13.42578125" style="112" customWidth="1"/>
    <col min="12050" max="12050" width="18.140625" style="112" customWidth="1"/>
    <col min="12051" max="12054" width="11.42578125" style="112" customWidth="1"/>
    <col min="12055" max="12057" width="12.28515625" style="112" customWidth="1"/>
    <col min="12058" max="12058" width="12" style="112" customWidth="1"/>
    <col min="12059" max="12059" width="11.42578125" style="112" customWidth="1"/>
    <col min="12060" max="12061" width="12.28515625" style="112" customWidth="1"/>
    <col min="12062" max="12062" width="13.140625" style="112" customWidth="1"/>
    <col min="12063" max="12063" width="13.5703125" style="112" customWidth="1"/>
    <col min="12064" max="12064" width="17.28515625" style="112" customWidth="1"/>
    <col min="12065" max="12065" width="13.85546875" style="112" customWidth="1"/>
    <col min="12066" max="12066" width="13.140625" style="112" customWidth="1"/>
    <col min="12067" max="12067" width="14.42578125" style="112" customWidth="1"/>
    <col min="12068" max="12069" width="13.5703125" style="112" customWidth="1"/>
    <col min="12070" max="12071" width="13.140625" style="112" customWidth="1"/>
    <col min="12072" max="12072" width="13.85546875" style="112" customWidth="1"/>
    <col min="12073" max="12073" width="13.5703125" style="112" customWidth="1"/>
    <col min="12074" max="12074" width="17.28515625" style="112" customWidth="1"/>
    <col min="12075" max="12075" width="13.85546875" style="112" customWidth="1"/>
    <col min="12076" max="12076" width="13.5703125" style="112" customWidth="1"/>
    <col min="12077" max="12077" width="13.85546875" style="112" customWidth="1"/>
    <col min="12078" max="12078" width="13.5703125" style="112" customWidth="1"/>
    <col min="12079" max="12079" width="17" style="112" customWidth="1"/>
    <col min="12080" max="12080" width="13.5703125" style="112" customWidth="1"/>
    <col min="12081" max="12081" width="17.85546875" style="112" customWidth="1"/>
    <col min="12082" max="12085" width="13.5703125" style="112" customWidth="1"/>
    <col min="12086" max="12086" width="14.28515625" style="112" customWidth="1"/>
    <col min="12087" max="12087" width="14.5703125" style="112" customWidth="1"/>
    <col min="12088" max="12088" width="14.28515625" style="112" customWidth="1"/>
    <col min="12089" max="12089" width="14.5703125" style="112" customWidth="1"/>
    <col min="12090" max="12090" width="14.28515625" style="112" customWidth="1"/>
    <col min="12091" max="12094" width="14.5703125" style="112" customWidth="1"/>
    <col min="12095" max="12096" width="14.28515625" style="112" customWidth="1"/>
    <col min="12097" max="12276" width="11.42578125" style="112" customWidth="1"/>
    <col min="12277" max="12277" width="7.85546875" style="112" customWidth="1"/>
    <col min="12278" max="12279" width="11.42578125" style="112" customWidth="1"/>
    <col min="12280" max="12280" width="12.42578125" style="112" customWidth="1"/>
    <col min="12281" max="12281" width="6.28515625" style="112" customWidth="1"/>
    <col min="12282" max="12282" width="11" style="112" customWidth="1"/>
    <col min="12283" max="12287" width="11.5703125" style="112" hidden="1" customWidth="1"/>
    <col min="12288" max="12288" width="7.5703125" style="112" customWidth="1"/>
    <col min="12289" max="12289" width="15.28515625" style="112" customWidth="1"/>
    <col min="12290" max="12290" width="11.42578125" style="112" customWidth="1"/>
    <col min="12291" max="12296" width="11.5703125" style="112" hidden="1" customWidth="1"/>
    <col min="12297" max="12297" width="18.140625" style="112" customWidth="1"/>
    <col min="12298" max="12298" width="14.85546875" style="112" customWidth="1"/>
    <col min="12299" max="12299" width="14.28515625" style="112" customWidth="1"/>
    <col min="12300" max="12300" width="3.5703125" style="112" customWidth="1"/>
    <col min="12301" max="12301" width="12.42578125" style="112" customWidth="1"/>
    <col min="12302" max="12302" width="14" style="112" customWidth="1"/>
    <col min="12303" max="12304" width="18.140625" style="112" customWidth="1"/>
    <col min="12305" max="12305" width="13.42578125" style="112" customWidth="1"/>
    <col min="12306" max="12306" width="18.140625" style="112" customWidth="1"/>
    <col min="12307" max="12310" width="11.42578125" style="112" customWidth="1"/>
    <col min="12311" max="12313" width="12.28515625" style="112" customWidth="1"/>
    <col min="12314" max="12314" width="12" style="112" customWidth="1"/>
    <col min="12315" max="12315" width="11.42578125" style="112" customWidth="1"/>
    <col min="12316" max="12317" width="12.28515625" style="112" customWidth="1"/>
    <col min="12318" max="12318" width="13.140625" style="112" customWidth="1"/>
    <col min="12319" max="12319" width="13.5703125" style="112" customWidth="1"/>
    <col min="12320" max="12320" width="17.28515625" style="112" customWidth="1"/>
    <col min="12321" max="12321" width="13.85546875" style="112" customWidth="1"/>
    <col min="12322" max="12322" width="13.140625" style="112" customWidth="1"/>
    <col min="12323" max="12323" width="14.42578125" style="112" customWidth="1"/>
    <col min="12324" max="12325" width="13.5703125" style="112" customWidth="1"/>
    <col min="12326" max="12327" width="13.140625" style="112" customWidth="1"/>
    <col min="12328" max="12328" width="13.85546875" style="112" customWidth="1"/>
    <col min="12329" max="12329" width="13.5703125" style="112" customWidth="1"/>
    <col min="12330" max="12330" width="17.28515625" style="112" customWidth="1"/>
    <col min="12331" max="12331" width="13.85546875" style="112" customWidth="1"/>
    <col min="12332" max="12332" width="13.5703125" style="112" customWidth="1"/>
    <col min="12333" max="12333" width="13.85546875" style="112" customWidth="1"/>
    <col min="12334" max="12334" width="13.5703125" style="112" customWidth="1"/>
    <col min="12335" max="12335" width="17" style="112" customWidth="1"/>
    <col min="12336" max="12336" width="13.5703125" style="112" customWidth="1"/>
    <col min="12337" max="12337" width="17.85546875" style="112" customWidth="1"/>
    <col min="12338" max="12341" width="13.5703125" style="112" customWidth="1"/>
    <col min="12342" max="12342" width="14.28515625" style="112" customWidth="1"/>
    <col min="12343" max="12343" width="14.5703125" style="112" customWidth="1"/>
    <col min="12344" max="12344" width="14.28515625" style="112" customWidth="1"/>
    <col min="12345" max="12345" width="14.5703125" style="112" customWidth="1"/>
    <col min="12346" max="12346" width="14.28515625" style="112" customWidth="1"/>
    <col min="12347" max="12350" width="14.5703125" style="112" customWidth="1"/>
    <col min="12351" max="12352" width="14.28515625" style="112" customWidth="1"/>
    <col min="12353" max="12532" width="11.42578125" style="112" customWidth="1"/>
    <col min="12533" max="12533" width="7.85546875" style="112" customWidth="1"/>
    <col min="12534" max="12535" width="11.42578125" style="112" customWidth="1"/>
    <col min="12536" max="12536" width="12.42578125" style="112" customWidth="1"/>
    <col min="12537" max="12537" width="6.28515625" style="112" customWidth="1"/>
    <col min="12538" max="12538" width="11" style="112" customWidth="1"/>
    <col min="12539" max="12543" width="11.5703125" style="112" hidden="1" customWidth="1"/>
    <col min="12544" max="12544" width="7.5703125" style="112" customWidth="1"/>
    <col min="12545" max="12545" width="15.28515625" style="112" customWidth="1"/>
    <col min="12546" max="12546" width="11.42578125" style="112" customWidth="1"/>
    <col min="12547" max="12552" width="11.5703125" style="112" hidden="1" customWidth="1"/>
    <col min="12553" max="12553" width="18.140625" style="112" customWidth="1"/>
    <col min="12554" max="12554" width="14.85546875" style="112" customWidth="1"/>
    <col min="12555" max="12555" width="14.28515625" style="112" customWidth="1"/>
    <col min="12556" max="12556" width="3.5703125" style="112" customWidth="1"/>
    <col min="12557" max="12557" width="12.42578125" style="112" customWidth="1"/>
    <col min="12558" max="12558" width="14" style="112" customWidth="1"/>
    <col min="12559" max="12560" width="18.140625" style="112" customWidth="1"/>
    <col min="12561" max="12561" width="13.42578125" style="112" customWidth="1"/>
    <col min="12562" max="12562" width="18.140625" style="112" customWidth="1"/>
    <col min="12563" max="12566" width="11.42578125" style="112" customWidth="1"/>
    <col min="12567" max="12569" width="12.28515625" style="112" customWidth="1"/>
    <col min="12570" max="12570" width="12" style="112" customWidth="1"/>
    <col min="12571" max="12571" width="11.42578125" style="112" customWidth="1"/>
    <col min="12572" max="12573" width="12.28515625" style="112" customWidth="1"/>
    <col min="12574" max="12574" width="13.140625" style="112" customWidth="1"/>
    <col min="12575" max="12575" width="13.5703125" style="112" customWidth="1"/>
    <col min="12576" max="12576" width="17.28515625" style="112" customWidth="1"/>
    <col min="12577" max="12577" width="13.85546875" style="112" customWidth="1"/>
    <col min="12578" max="12578" width="13.140625" style="112" customWidth="1"/>
    <col min="12579" max="12579" width="14.42578125" style="112" customWidth="1"/>
    <col min="12580" max="12581" width="13.5703125" style="112" customWidth="1"/>
    <col min="12582" max="12583" width="13.140625" style="112" customWidth="1"/>
    <col min="12584" max="12584" width="13.85546875" style="112" customWidth="1"/>
    <col min="12585" max="12585" width="13.5703125" style="112" customWidth="1"/>
    <col min="12586" max="12586" width="17.28515625" style="112" customWidth="1"/>
    <col min="12587" max="12587" width="13.85546875" style="112" customWidth="1"/>
    <col min="12588" max="12588" width="13.5703125" style="112" customWidth="1"/>
    <col min="12589" max="12589" width="13.85546875" style="112" customWidth="1"/>
    <col min="12590" max="12590" width="13.5703125" style="112" customWidth="1"/>
    <col min="12591" max="12591" width="17" style="112" customWidth="1"/>
    <col min="12592" max="12592" width="13.5703125" style="112" customWidth="1"/>
    <col min="12593" max="12593" width="17.85546875" style="112" customWidth="1"/>
    <col min="12594" max="12597" width="13.5703125" style="112" customWidth="1"/>
    <col min="12598" max="12598" width="14.28515625" style="112" customWidth="1"/>
    <col min="12599" max="12599" width="14.5703125" style="112" customWidth="1"/>
    <col min="12600" max="12600" width="14.28515625" style="112" customWidth="1"/>
    <col min="12601" max="12601" width="14.5703125" style="112" customWidth="1"/>
    <col min="12602" max="12602" width="14.28515625" style="112" customWidth="1"/>
    <col min="12603" max="12606" width="14.5703125" style="112" customWidth="1"/>
    <col min="12607" max="12608" width="14.28515625" style="112" customWidth="1"/>
    <col min="12609" max="12788" width="11.42578125" style="112" customWidth="1"/>
    <col min="12789" max="12789" width="7.85546875" style="112" customWidth="1"/>
    <col min="12790" max="12791" width="11.42578125" style="112" customWidth="1"/>
    <col min="12792" max="12792" width="12.42578125" style="112" customWidth="1"/>
    <col min="12793" max="12793" width="6.28515625" style="112" customWidth="1"/>
    <col min="12794" max="12794" width="11" style="112" customWidth="1"/>
    <col min="12795" max="12799" width="11.5703125" style="112" hidden="1" customWidth="1"/>
    <col min="12800" max="12800" width="7.5703125" style="112" customWidth="1"/>
    <col min="12801" max="12801" width="15.28515625" style="112" customWidth="1"/>
    <col min="12802" max="12802" width="11.42578125" style="112" customWidth="1"/>
    <col min="12803" max="12808" width="11.5703125" style="112" hidden="1" customWidth="1"/>
    <col min="12809" max="12809" width="18.140625" style="112" customWidth="1"/>
    <col min="12810" max="12810" width="14.85546875" style="112" customWidth="1"/>
    <col min="12811" max="12811" width="14.28515625" style="112" customWidth="1"/>
    <col min="12812" max="12812" width="3.5703125" style="112" customWidth="1"/>
    <col min="12813" max="12813" width="12.42578125" style="112" customWidth="1"/>
    <col min="12814" max="12814" width="14" style="112" customWidth="1"/>
    <col min="12815" max="12816" width="18.140625" style="112" customWidth="1"/>
    <col min="12817" max="12817" width="13.42578125" style="112" customWidth="1"/>
    <col min="12818" max="12818" width="18.140625" style="112" customWidth="1"/>
    <col min="12819" max="12822" width="11.42578125" style="112" customWidth="1"/>
    <col min="12823" max="12825" width="12.28515625" style="112" customWidth="1"/>
    <col min="12826" max="12826" width="12" style="112" customWidth="1"/>
    <col min="12827" max="12827" width="11.42578125" style="112" customWidth="1"/>
    <col min="12828" max="12829" width="12.28515625" style="112" customWidth="1"/>
    <col min="12830" max="12830" width="13.140625" style="112" customWidth="1"/>
    <col min="12831" max="12831" width="13.5703125" style="112" customWidth="1"/>
    <col min="12832" max="12832" width="17.28515625" style="112" customWidth="1"/>
    <col min="12833" max="12833" width="13.85546875" style="112" customWidth="1"/>
    <col min="12834" max="12834" width="13.140625" style="112" customWidth="1"/>
    <col min="12835" max="12835" width="14.42578125" style="112" customWidth="1"/>
    <col min="12836" max="12837" width="13.5703125" style="112" customWidth="1"/>
    <col min="12838" max="12839" width="13.140625" style="112" customWidth="1"/>
    <col min="12840" max="12840" width="13.85546875" style="112" customWidth="1"/>
    <col min="12841" max="12841" width="13.5703125" style="112" customWidth="1"/>
    <col min="12842" max="12842" width="17.28515625" style="112" customWidth="1"/>
    <col min="12843" max="12843" width="13.85546875" style="112" customWidth="1"/>
    <col min="12844" max="12844" width="13.5703125" style="112" customWidth="1"/>
    <col min="12845" max="12845" width="13.85546875" style="112" customWidth="1"/>
    <col min="12846" max="12846" width="13.5703125" style="112" customWidth="1"/>
    <col min="12847" max="12847" width="17" style="112" customWidth="1"/>
    <col min="12848" max="12848" width="13.5703125" style="112" customWidth="1"/>
    <col min="12849" max="12849" width="17.85546875" style="112" customWidth="1"/>
    <col min="12850" max="12853" width="13.5703125" style="112" customWidth="1"/>
    <col min="12854" max="12854" width="14.28515625" style="112" customWidth="1"/>
    <col min="12855" max="12855" width="14.5703125" style="112" customWidth="1"/>
    <col min="12856" max="12856" width="14.28515625" style="112" customWidth="1"/>
    <col min="12857" max="12857" width="14.5703125" style="112" customWidth="1"/>
    <col min="12858" max="12858" width="14.28515625" style="112" customWidth="1"/>
    <col min="12859" max="12862" width="14.5703125" style="112" customWidth="1"/>
    <col min="12863" max="12864" width="14.28515625" style="112" customWidth="1"/>
    <col min="12865" max="13044" width="11.42578125" style="112" customWidth="1"/>
    <col min="13045" max="13045" width="7.85546875" style="112" customWidth="1"/>
    <col min="13046" max="13047" width="11.42578125" style="112" customWidth="1"/>
    <col min="13048" max="13048" width="12.42578125" style="112" customWidth="1"/>
    <col min="13049" max="13049" width="6.28515625" style="112" customWidth="1"/>
    <col min="13050" max="13050" width="11" style="112" customWidth="1"/>
    <col min="13051" max="13055" width="11.5703125" style="112" hidden="1" customWidth="1"/>
    <col min="13056" max="13056" width="7.5703125" style="112" customWidth="1"/>
    <col min="13057" max="13057" width="15.28515625" style="112" customWidth="1"/>
    <col min="13058" max="13058" width="11.42578125" style="112" customWidth="1"/>
    <col min="13059" max="13064" width="11.5703125" style="112" hidden="1" customWidth="1"/>
    <col min="13065" max="13065" width="18.140625" style="112" customWidth="1"/>
    <col min="13066" max="13066" width="14.85546875" style="112" customWidth="1"/>
    <col min="13067" max="13067" width="14.28515625" style="112" customWidth="1"/>
    <col min="13068" max="13068" width="3.5703125" style="112" customWidth="1"/>
    <col min="13069" max="13069" width="12.42578125" style="112" customWidth="1"/>
    <col min="13070" max="13070" width="14" style="112" customWidth="1"/>
    <col min="13071" max="13072" width="18.140625" style="112" customWidth="1"/>
    <col min="13073" max="13073" width="13.42578125" style="112" customWidth="1"/>
    <col min="13074" max="13074" width="18.140625" style="112" customWidth="1"/>
    <col min="13075" max="13078" width="11.42578125" style="112" customWidth="1"/>
    <col min="13079" max="13081" width="12.28515625" style="112" customWidth="1"/>
    <col min="13082" max="13082" width="12" style="112" customWidth="1"/>
    <col min="13083" max="13083" width="11.42578125" style="112" customWidth="1"/>
    <col min="13084" max="13085" width="12.28515625" style="112" customWidth="1"/>
    <col min="13086" max="13086" width="13.140625" style="112" customWidth="1"/>
    <col min="13087" max="13087" width="13.5703125" style="112" customWidth="1"/>
    <col min="13088" max="13088" width="17.28515625" style="112" customWidth="1"/>
    <col min="13089" max="13089" width="13.85546875" style="112" customWidth="1"/>
    <col min="13090" max="13090" width="13.140625" style="112" customWidth="1"/>
    <col min="13091" max="13091" width="14.42578125" style="112" customWidth="1"/>
    <col min="13092" max="13093" width="13.5703125" style="112" customWidth="1"/>
    <col min="13094" max="13095" width="13.140625" style="112" customWidth="1"/>
    <col min="13096" max="13096" width="13.85546875" style="112" customWidth="1"/>
    <col min="13097" max="13097" width="13.5703125" style="112" customWidth="1"/>
    <col min="13098" max="13098" width="17.28515625" style="112" customWidth="1"/>
    <col min="13099" max="13099" width="13.85546875" style="112" customWidth="1"/>
    <col min="13100" max="13100" width="13.5703125" style="112" customWidth="1"/>
    <col min="13101" max="13101" width="13.85546875" style="112" customWidth="1"/>
    <col min="13102" max="13102" width="13.5703125" style="112" customWidth="1"/>
    <col min="13103" max="13103" width="17" style="112" customWidth="1"/>
    <col min="13104" max="13104" width="13.5703125" style="112" customWidth="1"/>
    <col min="13105" max="13105" width="17.85546875" style="112" customWidth="1"/>
    <col min="13106" max="13109" width="13.5703125" style="112" customWidth="1"/>
    <col min="13110" max="13110" width="14.28515625" style="112" customWidth="1"/>
    <col min="13111" max="13111" width="14.5703125" style="112" customWidth="1"/>
    <col min="13112" max="13112" width="14.28515625" style="112" customWidth="1"/>
    <col min="13113" max="13113" width="14.5703125" style="112" customWidth="1"/>
    <col min="13114" max="13114" width="14.28515625" style="112" customWidth="1"/>
    <col min="13115" max="13118" width="14.5703125" style="112" customWidth="1"/>
    <col min="13119" max="13120" width="14.28515625" style="112" customWidth="1"/>
    <col min="13121" max="13300" width="11.42578125" style="112" customWidth="1"/>
    <col min="13301" max="13301" width="7.85546875" style="112" customWidth="1"/>
    <col min="13302" max="13303" width="11.42578125" style="112" customWidth="1"/>
    <col min="13304" max="13304" width="12.42578125" style="112" customWidth="1"/>
    <col min="13305" max="13305" width="6.28515625" style="112" customWidth="1"/>
    <col min="13306" max="13306" width="11" style="112" customWidth="1"/>
    <col min="13307" max="13311" width="11.5703125" style="112" hidden="1" customWidth="1"/>
    <col min="13312" max="13312" width="7.5703125" style="112" customWidth="1"/>
    <col min="13313" max="13313" width="15.28515625" style="112" customWidth="1"/>
    <col min="13314" max="13314" width="11.42578125" style="112" customWidth="1"/>
    <col min="13315" max="13320" width="11.5703125" style="112" hidden="1" customWidth="1"/>
    <col min="13321" max="13321" width="18.140625" style="112" customWidth="1"/>
    <col min="13322" max="13322" width="14.85546875" style="112" customWidth="1"/>
    <col min="13323" max="13323" width="14.28515625" style="112" customWidth="1"/>
    <col min="13324" max="13324" width="3.5703125" style="112" customWidth="1"/>
    <col min="13325" max="13325" width="12.42578125" style="112" customWidth="1"/>
    <col min="13326" max="13326" width="14" style="112" customWidth="1"/>
    <col min="13327" max="13328" width="18.140625" style="112" customWidth="1"/>
    <col min="13329" max="13329" width="13.42578125" style="112" customWidth="1"/>
    <col min="13330" max="13330" width="18.140625" style="112" customWidth="1"/>
    <col min="13331" max="13334" width="11.42578125" style="112" customWidth="1"/>
    <col min="13335" max="13337" width="12.28515625" style="112" customWidth="1"/>
    <col min="13338" max="13338" width="12" style="112" customWidth="1"/>
    <col min="13339" max="13339" width="11.42578125" style="112" customWidth="1"/>
    <col min="13340" max="13341" width="12.28515625" style="112" customWidth="1"/>
    <col min="13342" max="13342" width="13.140625" style="112" customWidth="1"/>
    <col min="13343" max="13343" width="13.5703125" style="112" customWidth="1"/>
    <col min="13344" max="13344" width="17.28515625" style="112" customWidth="1"/>
    <col min="13345" max="13345" width="13.85546875" style="112" customWidth="1"/>
    <col min="13346" max="13346" width="13.140625" style="112" customWidth="1"/>
    <col min="13347" max="13347" width="14.42578125" style="112" customWidth="1"/>
    <col min="13348" max="13349" width="13.5703125" style="112" customWidth="1"/>
    <col min="13350" max="13351" width="13.140625" style="112" customWidth="1"/>
    <col min="13352" max="13352" width="13.85546875" style="112" customWidth="1"/>
    <col min="13353" max="13353" width="13.5703125" style="112" customWidth="1"/>
    <col min="13354" max="13354" width="17.28515625" style="112" customWidth="1"/>
    <col min="13355" max="13355" width="13.85546875" style="112" customWidth="1"/>
    <col min="13356" max="13356" width="13.5703125" style="112" customWidth="1"/>
    <col min="13357" max="13357" width="13.85546875" style="112" customWidth="1"/>
    <col min="13358" max="13358" width="13.5703125" style="112" customWidth="1"/>
    <col min="13359" max="13359" width="17" style="112" customWidth="1"/>
    <col min="13360" max="13360" width="13.5703125" style="112" customWidth="1"/>
    <col min="13361" max="13361" width="17.85546875" style="112" customWidth="1"/>
    <col min="13362" max="13365" width="13.5703125" style="112" customWidth="1"/>
    <col min="13366" max="13366" width="14.28515625" style="112" customWidth="1"/>
    <col min="13367" max="13367" width="14.5703125" style="112" customWidth="1"/>
    <col min="13368" max="13368" width="14.28515625" style="112" customWidth="1"/>
    <col min="13369" max="13369" width="14.5703125" style="112" customWidth="1"/>
    <col min="13370" max="13370" width="14.28515625" style="112" customWidth="1"/>
    <col min="13371" max="13374" width="14.5703125" style="112" customWidth="1"/>
    <col min="13375" max="13376" width="14.28515625" style="112" customWidth="1"/>
    <col min="13377" max="13556" width="11.42578125" style="112" customWidth="1"/>
    <col min="13557" max="13557" width="7.85546875" style="112" customWidth="1"/>
    <col min="13558" max="13559" width="11.42578125" style="112" customWidth="1"/>
    <col min="13560" max="13560" width="12.42578125" style="112" customWidth="1"/>
    <col min="13561" max="13561" width="6.28515625" style="112" customWidth="1"/>
    <col min="13562" max="13562" width="11" style="112" customWidth="1"/>
    <col min="13563" max="13567" width="11.5703125" style="112" hidden="1" customWidth="1"/>
    <col min="13568" max="13568" width="7.5703125" style="112" customWidth="1"/>
    <col min="13569" max="13569" width="15.28515625" style="112" customWidth="1"/>
    <col min="13570" max="13570" width="11.42578125" style="112" customWidth="1"/>
    <col min="13571" max="13576" width="11.5703125" style="112" hidden="1" customWidth="1"/>
    <col min="13577" max="13577" width="18.140625" style="112" customWidth="1"/>
    <col min="13578" max="13578" width="14.85546875" style="112" customWidth="1"/>
    <col min="13579" max="13579" width="14.28515625" style="112" customWidth="1"/>
    <col min="13580" max="13580" width="3.5703125" style="112" customWidth="1"/>
    <col min="13581" max="13581" width="12.42578125" style="112" customWidth="1"/>
    <col min="13582" max="13582" width="14" style="112" customWidth="1"/>
    <col min="13583" max="13584" width="18.140625" style="112" customWidth="1"/>
    <col min="13585" max="13585" width="13.42578125" style="112" customWidth="1"/>
    <col min="13586" max="13586" width="18.140625" style="112" customWidth="1"/>
    <col min="13587" max="13590" width="11.42578125" style="112" customWidth="1"/>
    <col min="13591" max="13593" width="12.28515625" style="112" customWidth="1"/>
    <col min="13594" max="13594" width="12" style="112" customWidth="1"/>
    <col min="13595" max="13595" width="11.42578125" style="112" customWidth="1"/>
    <col min="13596" max="13597" width="12.28515625" style="112" customWidth="1"/>
    <col min="13598" max="13598" width="13.140625" style="112" customWidth="1"/>
    <col min="13599" max="13599" width="13.5703125" style="112" customWidth="1"/>
    <col min="13600" max="13600" width="17.28515625" style="112" customWidth="1"/>
    <col min="13601" max="13601" width="13.85546875" style="112" customWidth="1"/>
    <col min="13602" max="13602" width="13.140625" style="112" customWidth="1"/>
    <col min="13603" max="13603" width="14.42578125" style="112" customWidth="1"/>
    <col min="13604" max="13605" width="13.5703125" style="112" customWidth="1"/>
    <col min="13606" max="13607" width="13.140625" style="112" customWidth="1"/>
    <col min="13608" max="13608" width="13.85546875" style="112" customWidth="1"/>
    <col min="13609" max="13609" width="13.5703125" style="112" customWidth="1"/>
    <col min="13610" max="13610" width="17.28515625" style="112" customWidth="1"/>
    <col min="13611" max="13611" width="13.85546875" style="112" customWidth="1"/>
    <col min="13612" max="13612" width="13.5703125" style="112" customWidth="1"/>
    <col min="13613" max="13613" width="13.85546875" style="112" customWidth="1"/>
    <col min="13614" max="13614" width="13.5703125" style="112" customWidth="1"/>
    <col min="13615" max="13615" width="17" style="112" customWidth="1"/>
    <col min="13616" max="13616" width="13.5703125" style="112" customWidth="1"/>
    <col min="13617" max="13617" width="17.85546875" style="112" customWidth="1"/>
    <col min="13618" max="13621" width="13.5703125" style="112" customWidth="1"/>
    <col min="13622" max="13622" width="14.28515625" style="112" customWidth="1"/>
    <col min="13623" max="13623" width="14.5703125" style="112" customWidth="1"/>
    <col min="13624" max="13624" width="14.28515625" style="112" customWidth="1"/>
    <col min="13625" max="13625" width="14.5703125" style="112" customWidth="1"/>
    <col min="13626" max="13626" width="14.28515625" style="112" customWidth="1"/>
    <col min="13627" max="13630" width="14.5703125" style="112" customWidth="1"/>
    <col min="13631" max="13632" width="14.28515625" style="112" customWidth="1"/>
    <col min="13633" max="13812" width="11.42578125" style="112" customWidth="1"/>
    <col min="13813" max="13813" width="7.85546875" style="112" customWidth="1"/>
    <col min="13814" max="13815" width="11.42578125" style="112" customWidth="1"/>
    <col min="13816" max="13816" width="12.42578125" style="112" customWidth="1"/>
    <col min="13817" max="13817" width="6.28515625" style="112" customWidth="1"/>
    <col min="13818" max="13818" width="11" style="112" customWidth="1"/>
    <col min="13819" max="13823" width="11.5703125" style="112" hidden="1" customWidth="1"/>
    <col min="13824" max="13824" width="7.5703125" style="112" customWidth="1"/>
    <col min="13825" max="13825" width="15.28515625" style="112" customWidth="1"/>
    <col min="13826" max="13826" width="11.42578125" style="112" customWidth="1"/>
    <col min="13827" max="13832" width="11.5703125" style="112" hidden="1" customWidth="1"/>
    <col min="13833" max="13833" width="18.140625" style="112" customWidth="1"/>
    <col min="13834" max="13834" width="14.85546875" style="112" customWidth="1"/>
    <col min="13835" max="13835" width="14.28515625" style="112" customWidth="1"/>
    <col min="13836" max="13836" width="3.5703125" style="112" customWidth="1"/>
    <col min="13837" max="13837" width="12.42578125" style="112" customWidth="1"/>
    <col min="13838" max="13838" width="14" style="112" customWidth="1"/>
    <col min="13839" max="13840" width="18.140625" style="112" customWidth="1"/>
    <col min="13841" max="13841" width="13.42578125" style="112" customWidth="1"/>
    <col min="13842" max="13842" width="18.140625" style="112" customWidth="1"/>
    <col min="13843" max="13846" width="11.42578125" style="112" customWidth="1"/>
    <col min="13847" max="13849" width="12.28515625" style="112" customWidth="1"/>
    <col min="13850" max="13850" width="12" style="112" customWidth="1"/>
    <col min="13851" max="13851" width="11.42578125" style="112" customWidth="1"/>
    <col min="13852" max="13853" width="12.28515625" style="112" customWidth="1"/>
    <col min="13854" max="13854" width="13.140625" style="112" customWidth="1"/>
    <col min="13855" max="13855" width="13.5703125" style="112" customWidth="1"/>
    <col min="13856" max="13856" width="17.28515625" style="112" customWidth="1"/>
    <col min="13857" max="13857" width="13.85546875" style="112" customWidth="1"/>
    <col min="13858" max="13858" width="13.140625" style="112" customWidth="1"/>
    <col min="13859" max="13859" width="14.42578125" style="112" customWidth="1"/>
    <col min="13860" max="13861" width="13.5703125" style="112" customWidth="1"/>
    <col min="13862" max="13863" width="13.140625" style="112" customWidth="1"/>
    <col min="13864" max="13864" width="13.85546875" style="112" customWidth="1"/>
    <col min="13865" max="13865" width="13.5703125" style="112" customWidth="1"/>
    <col min="13866" max="13866" width="17.28515625" style="112" customWidth="1"/>
    <col min="13867" max="13867" width="13.85546875" style="112" customWidth="1"/>
    <col min="13868" max="13868" width="13.5703125" style="112" customWidth="1"/>
    <col min="13869" max="13869" width="13.85546875" style="112" customWidth="1"/>
    <col min="13870" max="13870" width="13.5703125" style="112" customWidth="1"/>
    <col min="13871" max="13871" width="17" style="112" customWidth="1"/>
    <col min="13872" max="13872" width="13.5703125" style="112" customWidth="1"/>
    <col min="13873" max="13873" width="17.85546875" style="112" customWidth="1"/>
    <col min="13874" max="13877" width="13.5703125" style="112" customWidth="1"/>
    <col min="13878" max="13878" width="14.28515625" style="112" customWidth="1"/>
    <col min="13879" max="13879" width="14.5703125" style="112" customWidth="1"/>
    <col min="13880" max="13880" width="14.28515625" style="112" customWidth="1"/>
    <col min="13881" max="13881" width="14.5703125" style="112" customWidth="1"/>
    <col min="13882" max="13882" width="14.28515625" style="112" customWidth="1"/>
    <col min="13883" max="13886" width="14.5703125" style="112" customWidth="1"/>
    <col min="13887" max="13888" width="14.28515625" style="112" customWidth="1"/>
    <col min="13889" max="14068" width="11.42578125" style="112" customWidth="1"/>
    <col min="14069" max="14069" width="7.85546875" style="112" customWidth="1"/>
    <col min="14070" max="14071" width="11.42578125" style="112" customWidth="1"/>
    <col min="14072" max="14072" width="12.42578125" style="112" customWidth="1"/>
    <col min="14073" max="14073" width="6.28515625" style="112" customWidth="1"/>
    <col min="14074" max="14074" width="11" style="112" customWidth="1"/>
    <col min="14075" max="14079" width="11.5703125" style="112" hidden="1" customWidth="1"/>
    <col min="14080" max="14080" width="7.5703125" style="112" customWidth="1"/>
    <col min="14081" max="14081" width="15.28515625" style="112" customWidth="1"/>
    <col min="14082" max="14082" width="11.42578125" style="112" customWidth="1"/>
    <col min="14083" max="14088" width="11.5703125" style="112" hidden="1" customWidth="1"/>
    <col min="14089" max="14089" width="18.140625" style="112" customWidth="1"/>
    <col min="14090" max="14090" width="14.85546875" style="112" customWidth="1"/>
    <col min="14091" max="14091" width="14.28515625" style="112" customWidth="1"/>
    <col min="14092" max="14092" width="3.5703125" style="112" customWidth="1"/>
    <col min="14093" max="14093" width="12.42578125" style="112" customWidth="1"/>
    <col min="14094" max="14094" width="14" style="112" customWidth="1"/>
    <col min="14095" max="14096" width="18.140625" style="112" customWidth="1"/>
    <col min="14097" max="14097" width="13.42578125" style="112" customWidth="1"/>
    <col min="14098" max="14098" width="18.140625" style="112" customWidth="1"/>
    <col min="14099" max="14102" width="11.42578125" style="112" customWidth="1"/>
    <col min="14103" max="14105" width="12.28515625" style="112" customWidth="1"/>
    <col min="14106" max="14106" width="12" style="112" customWidth="1"/>
    <col min="14107" max="14107" width="11.42578125" style="112" customWidth="1"/>
    <col min="14108" max="14109" width="12.28515625" style="112" customWidth="1"/>
    <col min="14110" max="14110" width="13.140625" style="112" customWidth="1"/>
    <col min="14111" max="14111" width="13.5703125" style="112" customWidth="1"/>
    <col min="14112" max="14112" width="17.28515625" style="112" customWidth="1"/>
    <col min="14113" max="14113" width="13.85546875" style="112" customWidth="1"/>
    <col min="14114" max="14114" width="13.140625" style="112" customWidth="1"/>
    <col min="14115" max="14115" width="14.42578125" style="112" customWidth="1"/>
    <col min="14116" max="14117" width="13.5703125" style="112" customWidth="1"/>
    <col min="14118" max="14119" width="13.140625" style="112" customWidth="1"/>
    <col min="14120" max="14120" width="13.85546875" style="112" customWidth="1"/>
    <col min="14121" max="14121" width="13.5703125" style="112" customWidth="1"/>
    <col min="14122" max="14122" width="17.28515625" style="112" customWidth="1"/>
    <col min="14123" max="14123" width="13.85546875" style="112" customWidth="1"/>
    <col min="14124" max="14124" width="13.5703125" style="112" customWidth="1"/>
    <col min="14125" max="14125" width="13.85546875" style="112" customWidth="1"/>
    <col min="14126" max="14126" width="13.5703125" style="112" customWidth="1"/>
    <col min="14127" max="14127" width="17" style="112" customWidth="1"/>
    <col min="14128" max="14128" width="13.5703125" style="112" customWidth="1"/>
    <col min="14129" max="14129" width="17.85546875" style="112" customWidth="1"/>
    <col min="14130" max="14133" width="13.5703125" style="112" customWidth="1"/>
    <col min="14134" max="14134" width="14.28515625" style="112" customWidth="1"/>
    <col min="14135" max="14135" width="14.5703125" style="112" customWidth="1"/>
    <col min="14136" max="14136" width="14.28515625" style="112" customWidth="1"/>
    <col min="14137" max="14137" width="14.5703125" style="112" customWidth="1"/>
    <col min="14138" max="14138" width="14.28515625" style="112" customWidth="1"/>
    <col min="14139" max="14142" width="14.5703125" style="112" customWidth="1"/>
    <col min="14143" max="14144" width="14.28515625" style="112" customWidth="1"/>
    <col min="14145" max="14324" width="11.42578125" style="112" customWidth="1"/>
    <col min="14325" max="14325" width="7.85546875" style="112" customWidth="1"/>
    <col min="14326" max="14327" width="11.42578125" style="112" customWidth="1"/>
    <col min="14328" max="14328" width="12.42578125" style="112" customWidth="1"/>
    <col min="14329" max="14329" width="6.28515625" style="112" customWidth="1"/>
    <col min="14330" max="14330" width="11" style="112" customWidth="1"/>
    <col min="14331" max="14335" width="11.5703125" style="112" hidden="1" customWidth="1"/>
    <col min="14336" max="14336" width="7.5703125" style="112" customWidth="1"/>
    <col min="14337" max="14337" width="15.28515625" style="112" customWidth="1"/>
    <col min="14338" max="14338" width="11.42578125" style="112" customWidth="1"/>
    <col min="14339" max="14344" width="11.5703125" style="112" hidden="1" customWidth="1"/>
    <col min="14345" max="14345" width="18.140625" style="112" customWidth="1"/>
    <col min="14346" max="14346" width="14.85546875" style="112" customWidth="1"/>
    <col min="14347" max="14347" width="14.28515625" style="112" customWidth="1"/>
    <col min="14348" max="14348" width="3.5703125" style="112" customWidth="1"/>
    <col min="14349" max="14349" width="12.42578125" style="112" customWidth="1"/>
    <col min="14350" max="14350" width="14" style="112" customWidth="1"/>
    <col min="14351" max="14352" width="18.140625" style="112" customWidth="1"/>
    <col min="14353" max="14353" width="13.42578125" style="112" customWidth="1"/>
    <col min="14354" max="14354" width="18.140625" style="112" customWidth="1"/>
    <col min="14355" max="14358" width="11.42578125" style="112" customWidth="1"/>
    <col min="14359" max="14361" width="12.28515625" style="112" customWidth="1"/>
    <col min="14362" max="14362" width="12" style="112" customWidth="1"/>
    <col min="14363" max="14363" width="11.42578125" style="112" customWidth="1"/>
    <col min="14364" max="14365" width="12.28515625" style="112" customWidth="1"/>
    <col min="14366" max="14366" width="13.140625" style="112" customWidth="1"/>
    <col min="14367" max="14367" width="13.5703125" style="112" customWidth="1"/>
    <col min="14368" max="14368" width="17.28515625" style="112" customWidth="1"/>
    <col min="14369" max="14369" width="13.85546875" style="112" customWidth="1"/>
    <col min="14370" max="14370" width="13.140625" style="112" customWidth="1"/>
    <col min="14371" max="14371" width="14.42578125" style="112" customWidth="1"/>
    <col min="14372" max="14373" width="13.5703125" style="112" customWidth="1"/>
    <col min="14374" max="14375" width="13.140625" style="112" customWidth="1"/>
    <col min="14376" max="14376" width="13.85546875" style="112" customWidth="1"/>
    <col min="14377" max="14377" width="13.5703125" style="112" customWidth="1"/>
    <col min="14378" max="14378" width="17.28515625" style="112" customWidth="1"/>
    <col min="14379" max="14379" width="13.85546875" style="112" customWidth="1"/>
    <col min="14380" max="14380" width="13.5703125" style="112" customWidth="1"/>
    <col min="14381" max="14381" width="13.85546875" style="112" customWidth="1"/>
    <col min="14382" max="14382" width="13.5703125" style="112" customWidth="1"/>
    <col min="14383" max="14383" width="17" style="112" customWidth="1"/>
    <col min="14384" max="14384" width="13.5703125" style="112" customWidth="1"/>
    <col min="14385" max="14385" width="17.85546875" style="112" customWidth="1"/>
    <col min="14386" max="14389" width="13.5703125" style="112" customWidth="1"/>
    <col min="14390" max="14390" width="14.28515625" style="112" customWidth="1"/>
    <col min="14391" max="14391" width="14.5703125" style="112" customWidth="1"/>
    <col min="14392" max="14392" width="14.28515625" style="112" customWidth="1"/>
    <col min="14393" max="14393" width="14.5703125" style="112" customWidth="1"/>
    <col min="14394" max="14394" width="14.28515625" style="112" customWidth="1"/>
    <col min="14395" max="14398" width="14.5703125" style="112" customWidth="1"/>
    <col min="14399" max="14400" width="14.28515625" style="112" customWidth="1"/>
    <col min="14401" max="14580" width="11.42578125" style="112" customWidth="1"/>
    <col min="14581" max="14581" width="7.85546875" style="112" customWidth="1"/>
    <col min="14582" max="14583" width="11.42578125" style="112" customWidth="1"/>
    <col min="14584" max="14584" width="12.42578125" style="112" customWidth="1"/>
    <col min="14585" max="14585" width="6.28515625" style="112" customWidth="1"/>
    <col min="14586" max="14586" width="11" style="112" customWidth="1"/>
    <col min="14587" max="14591" width="11.5703125" style="112" hidden="1" customWidth="1"/>
    <col min="14592" max="14592" width="7.5703125" style="112" customWidth="1"/>
    <col min="14593" max="14593" width="15.28515625" style="112" customWidth="1"/>
    <col min="14594" max="14594" width="11.42578125" style="112" customWidth="1"/>
    <col min="14595" max="14600" width="11.5703125" style="112" hidden="1" customWidth="1"/>
    <col min="14601" max="14601" width="18.140625" style="112" customWidth="1"/>
    <col min="14602" max="14602" width="14.85546875" style="112" customWidth="1"/>
    <col min="14603" max="14603" width="14.28515625" style="112" customWidth="1"/>
    <col min="14604" max="14604" width="3.5703125" style="112" customWidth="1"/>
    <col min="14605" max="14605" width="12.42578125" style="112" customWidth="1"/>
    <col min="14606" max="14606" width="14" style="112" customWidth="1"/>
    <col min="14607" max="14608" width="18.140625" style="112" customWidth="1"/>
    <col min="14609" max="14609" width="13.42578125" style="112" customWidth="1"/>
    <col min="14610" max="14610" width="18.140625" style="112" customWidth="1"/>
    <col min="14611" max="14614" width="11.42578125" style="112" customWidth="1"/>
    <col min="14615" max="14617" width="12.28515625" style="112" customWidth="1"/>
    <col min="14618" max="14618" width="12" style="112" customWidth="1"/>
    <col min="14619" max="14619" width="11.42578125" style="112" customWidth="1"/>
    <col min="14620" max="14621" width="12.28515625" style="112" customWidth="1"/>
    <col min="14622" max="14622" width="13.140625" style="112" customWidth="1"/>
    <col min="14623" max="14623" width="13.5703125" style="112" customWidth="1"/>
    <col min="14624" max="14624" width="17.28515625" style="112" customWidth="1"/>
    <col min="14625" max="14625" width="13.85546875" style="112" customWidth="1"/>
    <col min="14626" max="14626" width="13.140625" style="112" customWidth="1"/>
    <col min="14627" max="14627" width="14.42578125" style="112" customWidth="1"/>
    <col min="14628" max="14629" width="13.5703125" style="112" customWidth="1"/>
    <col min="14630" max="14631" width="13.140625" style="112" customWidth="1"/>
    <col min="14632" max="14632" width="13.85546875" style="112" customWidth="1"/>
    <col min="14633" max="14633" width="13.5703125" style="112" customWidth="1"/>
    <col min="14634" max="14634" width="17.28515625" style="112" customWidth="1"/>
    <col min="14635" max="14635" width="13.85546875" style="112" customWidth="1"/>
    <col min="14636" max="14636" width="13.5703125" style="112" customWidth="1"/>
    <col min="14637" max="14637" width="13.85546875" style="112" customWidth="1"/>
    <col min="14638" max="14638" width="13.5703125" style="112" customWidth="1"/>
    <col min="14639" max="14639" width="17" style="112" customWidth="1"/>
    <col min="14640" max="14640" width="13.5703125" style="112" customWidth="1"/>
    <col min="14641" max="14641" width="17.85546875" style="112" customWidth="1"/>
    <col min="14642" max="14645" width="13.5703125" style="112" customWidth="1"/>
    <col min="14646" max="14646" width="14.28515625" style="112" customWidth="1"/>
    <col min="14647" max="14647" width="14.5703125" style="112" customWidth="1"/>
    <col min="14648" max="14648" width="14.28515625" style="112" customWidth="1"/>
    <col min="14649" max="14649" width="14.5703125" style="112" customWidth="1"/>
    <col min="14650" max="14650" width="14.28515625" style="112" customWidth="1"/>
    <col min="14651" max="14654" width="14.5703125" style="112" customWidth="1"/>
    <col min="14655" max="14656" width="14.28515625" style="112" customWidth="1"/>
    <col min="14657" max="14836" width="11.42578125" style="112" customWidth="1"/>
    <col min="14837" max="14837" width="7.85546875" style="112" customWidth="1"/>
    <col min="14838" max="14839" width="11.42578125" style="112" customWidth="1"/>
    <col min="14840" max="14840" width="12.42578125" style="112" customWidth="1"/>
    <col min="14841" max="14841" width="6.28515625" style="112" customWidth="1"/>
    <col min="14842" max="14842" width="11" style="112" customWidth="1"/>
    <col min="14843" max="14847" width="11.5703125" style="112" hidden="1" customWidth="1"/>
    <col min="14848" max="14848" width="7.5703125" style="112" customWidth="1"/>
    <col min="14849" max="14849" width="15.28515625" style="112" customWidth="1"/>
    <col min="14850" max="14850" width="11.42578125" style="112" customWidth="1"/>
    <col min="14851" max="14856" width="11.5703125" style="112" hidden="1" customWidth="1"/>
    <col min="14857" max="14857" width="18.140625" style="112" customWidth="1"/>
    <col min="14858" max="14858" width="14.85546875" style="112" customWidth="1"/>
    <col min="14859" max="14859" width="14.28515625" style="112" customWidth="1"/>
    <col min="14860" max="14860" width="3.5703125" style="112" customWidth="1"/>
    <col min="14861" max="14861" width="12.42578125" style="112" customWidth="1"/>
    <col min="14862" max="14862" width="14" style="112" customWidth="1"/>
    <col min="14863" max="14864" width="18.140625" style="112" customWidth="1"/>
    <col min="14865" max="14865" width="13.42578125" style="112" customWidth="1"/>
    <col min="14866" max="14866" width="18.140625" style="112" customWidth="1"/>
    <col min="14867" max="14870" width="11.42578125" style="112" customWidth="1"/>
    <col min="14871" max="14873" width="12.28515625" style="112" customWidth="1"/>
    <col min="14874" max="14874" width="12" style="112" customWidth="1"/>
    <col min="14875" max="14875" width="11.42578125" style="112" customWidth="1"/>
    <col min="14876" max="14877" width="12.28515625" style="112" customWidth="1"/>
    <col min="14878" max="14878" width="13.140625" style="112" customWidth="1"/>
    <col min="14879" max="14879" width="13.5703125" style="112" customWidth="1"/>
    <col min="14880" max="14880" width="17.28515625" style="112" customWidth="1"/>
    <col min="14881" max="14881" width="13.85546875" style="112" customWidth="1"/>
    <col min="14882" max="14882" width="13.140625" style="112" customWidth="1"/>
    <col min="14883" max="14883" width="14.42578125" style="112" customWidth="1"/>
    <col min="14884" max="14885" width="13.5703125" style="112" customWidth="1"/>
    <col min="14886" max="14887" width="13.140625" style="112" customWidth="1"/>
    <col min="14888" max="14888" width="13.85546875" style="112" customWidth="1"/>
    <col min="14889" max="14889" width="13.5703125" style="112" customWidth="1"/>
    <col min="14890" max="14890" width="17.28515625" style="112" customWidth="1"/>
    <col min="14891" max="14891" width="13.85546875" style="112" customWidth="1"/>
    <col min="14892" max="14892" width="13.5703125" style="112" customWidth="1"/>
    <col min="14893" max="14893" width="13.85546875" style="112" customWidth="1"/>
    <col min="14894" max="14894" width="13.5703125" style="112" customWidth="1"/>
    <col min="14895" max="14895" width="17" style="112" customWidth="1"/>
    <col min="14896" max="14896" width="13.5703125" style="112" customWidth="1"/>
    <col min="14897" max="14897" width="17.85546875" style="112" customWidth="1"/>
    <col min="14898" max="14901" width="13.5703125" style="112" customWidth="1"/>
    <col min="14902" max="14902" width="14.28515625" style="112" customWidth="1"/>
    <col min="14903" max="14903" width="14.5703125" style="112" customWidth="1"/>
    <col min="14904" max="14904" width="14.28515625" style="112" customWidth="1"/>
    <col min="14905" max="14905" width="14.5703125" style="112" customWidth="1"/>
    <col min="14906" max="14906" width="14.28515625" style="112" customWidth="1"/>
    <col min="14907" max="14910" width="14.5703125" style="112" customWidth="1"/>
    <col min="14911" max="14912" width="14.28515625" style="112" customWidth="1"/>
    <col min="14913" max="15092" width="11.42578125" style="112" customWidth="1"/>
    <col min="15093" max="15093" width="7.85546875" style="112" customWidth="1"/>
    <col min="15094" max="15095" width="11.42578125" style="112" customWidth="1"/>
    <col min="15096" max="15096" width="12.42578125" style="112" customWidth="1"/>
    <col min="15097" max="15097" width="6.28515625" style="112" customWidth="1"/>
    <col min="15098" max="15098" width="11" style="112" customWidth="1"/>
    <col min="15099" max="15103" width="11.5703125" style="112" hidden="1" customWidth="1"/>
    <col min="15104" max="15104" width="7.5703125" style="112" customWidth="1"/>
    <col min="15105" max="15105" width="15.28515625" style="112" customWidth="1"/>
    <col min="15106" max="15106" width="11.42578125" style="112" customWidth="1"/>
    <col min="15107" max="15112" width="11.5703125" style="112" hidden="1" customWidth="1"/>
    <col min="15113" max="15113" width="18.140625" style="112" customWidth="1"/>
    <col min="15114" max="15114" width="14.85546875" style="112" customWidth="1"/>
    <col min="15115" max="15115" width="14.28515625" style="112" customWidth="1"/>
    <col min="15116" max="15116" width="3.5703125" style="112" customWidth="1"/>
    <col min="15117" max="15117" width="12.42578125" style="112" customWidth="1"/>
    <col min="15118" max="15118" width="14" style="112" customWidth="1"/>
    <col min="15119" max="15120" width="18.140625" style="112" customWidth="1"/>
    <col min="15121" max="15121" width="13.42578125" style="112" customWidth="1"/>
    <col min="15122" max="15122" width="18.140625" style="112" customWidth="1"/>
    <col min="15123" max="15126" width="11.42578125" style="112" customWidth="1"/>
    <col min="15127" max="15129" width="12.28515625" style="112" customWidth="1"/>
    <col min="15130" max="15130" width="12" style="112" customWidth="1"/>
    <col min="15131" max="15131" width="11.42578125" style="112" customWidth="1"/>
    <col min="15132" max="15133" width="12.28515625" style="112" customWidth="1"/>
    <col min="15134" max="15134" width="13.140625" style="112" customWidth="1"/>
    <col min="15135" max="15135" width="13.5703125" style="112" customWidth="1"/>
    <col min="15136" max="15136" width="17.28515625" style="112" customWidth="1"/>
    <col min="15137" max="15137" width="13.85546875" style="112" customWidth="1"/>
    <col min="15138" max="15138" width="13.140625" style="112" customWidth="1"/>
    <col min="15139" max="15139" width="14.42578125" style="112" customWidth="1"/>
    <col min="15140" max="15141" width="13.5703125" style="112" customWidth="1"/>
    <col min="15142" max="15143" width="13.140625" style="112" customWidth="1"/>
    <col min="15144" max="15144" width="13.85546875" style="112" customWidth="1"/>
    <col min="15145" max="15145" width="13.5703125" style="112" customWidth="1"/>
    <col min="15146" max="15146" width="17.28515625" style="112" customWidth="1"/>
    <col min="15147" max="15147" width="13.85546875" style="112" customWidth="1"/>
    <col min="15148" max="15148" width="13.5703125" style="112" customWidth="1"/>
    <col min="15149" max="15149" width="13.85546875" style="112" customWidth="1"/>
    <col min="15150" max="15150" width="13.5703125" style="112" customWidth="1"/>
    <col min="15151" max="15151" width="17" style="112" customWidth="1"/>
    <col min="15152" max="15152" width="13.5703125" style="112" customWidth="1"/>
    <col min="15153" max="15153" width="17.85546875" style="112" customWidth="1"/>
    <col min="15154" max="15157" width="13.5703125" style="112" customWidth="1"/>
    <col min="15158" max="15158" width="14.28515625" style="112" customWidth="1"/>
    <col min="15159" max="15159" width="14.5703125" style="112" customWidth="1"/>
    <col min="15160" max="15160" width="14.28515625" style="112" customWidth="1"/>
    <col min="15161" max="15161" width="14.5703125" style="112" customWidth="1"/>
    <col min="15162" max="15162" width="14.28515625" style="112" customWidth="1"/>
    <col min="15163" max="15166" width="14.5703125" style="112" customWidth="1"/>
    <col min="15167" max="15168" width="14.28515625" style="112" customWidth="1"/>
    <col min="15169" max="15348" width="11.42578125" style="112" customWidth="1"/>
    <col min="15349" max="15349" width="7.85546875" style="112" customWidth="1"/>
    <col min="15350" max="15351" width="11.42578125" style="112" customWidth="1"/>
    <col min="15352" max="15352" width="12.42578125" style="112" customWidth="1"/>
    <col min="15353" max="15353" width="6.28515625" style="112" customWidth="1"/>
    <col min="15354" max="15354" width="11" style="112" customWidth="1"/>
    <col min="15355" max="15359" width="11.5703125" style="112" hidden="1" customWidth="1"/>
    <col min="15360" max="15360" width="7.5703125" style="112" customWidth="1"/>
    <col min="15361" max="15361" width="15.28515625" style="112" customWidth="1"/>
    <col min="15362" max="15362" width="11.42578125" style="112" customWidth="1"/>
    <col min="15363" max="15368" width="11.5703125" style="112" hidden="1" customWidth="1"/>
    <col min="15369" max="15369" width="18.140625" style="112" customWidth="1"/>
    <col min="15370" max="15370" width="14.85546875" style="112" customWidth="1"/>
    <col min="15371" max="15371" width="14.28515625" style="112" customWidth="1"/>
    <col min="15372" max="15372" width="3.5703125" style="112" customWidth="1"/>
    <col min="15373" max="15373" width="12.42578125" style="112" customWidth="1"/>
    <col min="15374" max="15374" width="14" style="112" customWidth="1"/>
    <col min="15375" max="15376" width="18.140625" style="112" customWidth="1"/>
    <col min="15377" max="15377" width="13.42578125" style="112" customWidth="1"/>
    <col min="15378" max="15378" width="18.140625" style="112" customWidth="1"/>
    <col min="15379" max="15382" width="11.42578125" style="112" customWidth="1"/>
    <col min="15383" max="15385" width="12.28515625" style="112" customWidth="1"/>
    <col min="15386" max="15386" width="12" style="112" customWidth="1"/>
    <col min="15387" max="15387" width="11.42578125" style="112" customWidth="1"/>
    <col min="15388" max="15389" width="12.28515625" style="112" customWidth="1"/>
    <col min="15390" max="15390" width="13.140625" style="112" customWidth="1"/>
    <col min="15391" max="15391" width="13.5703125" style="112" customWidth="1"/>
    <col min="15392" max="15392" width="17.28515625" style="112" customWidth="1"/>
    <col min="15393" max="15393" width="13.85546875" style="112" customWidth="1"/>
    <col min="15394" max="15394" width="13.140625" style="112" customWidth="1"/>
    <col min="15395" max="15395" width="14.42578125" style="112" customWidth="1"/>
    <col min="15396" max="15397" width="13.5703125" style="112" customWidth="1"/>
    <col min="15398" max="15399" width="13.140625" style="112" customWidth="1"/>
    <col min="15400" max="15400" width="13.85546875" style="112" customWidth="1"/>
    <col min="15401" max="15401" width="13.5703125" style="112" customWidth="1"/>
    <col min="15402" max="15402" width="17.28515625" style="112" customWidth="1"/>
    <col min="15403" max="15403" width="13.85546875" style="112" customWidth="1"/>
    <col min="15404" max="15404" width="13.5703125" style="112" customWidth="1"/>
    <col min="15405" max="15405" width="13.85546875" style="112" customWidth="1"/>
    <col min="15406" max="15406" width="13.5703125" style="112" customWidth="1"/>
    <col min="15407" max="15407" width="17" style="112" customWidth="1"/>
    <col min="15408" max="15408" width="13.5703125" style="112" customWidth="1"/>
    <col min="15409" max="15409" width="17.85546875" style="112" customWidth="1"/>
    <col min="15410" max="15413" width="13.5703125" style="112" customWidth="1"/>
    <col min="15414" max="15414" width="14.28515625" style="112" customWidth="1"/>
    <col min="15415" max="15415" width="14.5703125" style="112" customWidth="1"/>
    <col min="15416" max="15416" width="14.28515625" style="112" customWidth="1"/>
    <col min="15417" max="15417" width="14.5703125" style="112" customWidth="1"/>
    <col min="15418" max="15418" width="14.28515625" style="112" customWidth="1"/>
    <col min="15419" max="15422" width="14.5703125" style="112" customWidth="1"/>
    <col min="15423" max="15424" width="14.28515625" style="112" customWidth="1"/>
    <col min="15425" max="15604" width="11.42578125" style="112" customWidth="1"/>
    <col min="15605" max="15605" width="7.85546875" style="112" customWidth="1"/>
    <col min="15606" max="15607" width="11.42578125" style="112" customWidth="1"/>
    <col min="15608" max="15608" width="12.42578125" style="112" customWidth="1"/>
    <col min="15609" max="15609" width="6.28515625" style="112" customWidth="1"/>
    <col min="15610" max="15610" width="11" style="112" customWidth="1"/>
    <col min="15611" max="15615" width="11.5703125" style="112" hidden="1" customWidth="1"/>
    <col min="15616" max="15616" width="7.5703125" style="112" customWidth="1"/>
    <col min="15617" max="15617" width="15.28515625" style="112" customWidth="1"/>
    <col min="15618" max="15618" width="11.42578125" style="112" customWidth="1"/>
    <col min="15619" max="15624" width="11.5703125" style="112" hidden="1" customWidth="1"/>
    <col min="15625" max="15625" width="18.140625" style="112" customWidth="1"/>
    <col min="15626" max="15626" width="14.85546875" style="112" customWidth="1"/>
    <col min="15627" max="15627" width="14.28515625" style="112" customWidth="1"/>
    <col min="15628" max="15628" width="3.5703125" style="112" customWidth="1"/>
    <col min="15629" max="15629" width="12.42578125" style="112" customWidth="1"/>
    <col min="15630" max="15630" width="14" style="112" customWidth="1"/>
    <col min="15631" max="15632" width="18.140625" style="112" customWidth="1"/>
    <col min="15633" max="15633" width="13.42578125" style="112" customWidth="1"/>
    <col min="15634" max="15634" width="18.140625" style="112" customWidth="1"/>
    <col min="15635" max="15638" width="11.42578125" style="112" customWidth="1"/>
    <col min="15639" max="15641" width="12.28515625" style="112" customWidth="1"/>
    <col min="15642" max="15642" width="12" style="112" customWidth="1"/>
    <col min="15643" max="15643" width="11.42578125" style="112" customWidth="1"/>
    <col min="15644" max="15645" width="12.28515625" style="112" customWidth="1"/>
    <col min="15646" max="15646" width="13.140625" style="112" customWidth="1"/>
    <col min="15647" max="15647" width="13.5703125" style="112" customWidth="1"/>
    <col min="15648" max="15648" width="17.28515625" style="112" customWidth="1"/>
    <col min="15649" max="15649" width="13.85546875" style="112" customWidth="1"/>
    <col min="15650" max="15650" width="13.140625" style="112" customWidth="1"/>
    <col min="15651" max="15651" width="14.42578125" style="112" customWidth="1"/>
    <col min="15652" max="15653" width="13.5703125" style="112" customWidth="1"/>
    <col min="15654" max="15655" width="13.140625" style="112" customWidth="1"/>
    <col min="15656" max="15656" width="13.85546875" style="112" customWidth="1"/>
    <col min="15657" max="15657" width="13.5703125" style="112" customWidth="1"/>
    <col min="15658" max="15658" width="17.28515625" style="112" customWidth="1"/>
    <col min="15659" max="15659" width="13.85546875" style="112" customWidth="1"/>
    <col min="15660" max="15660" width="13.5703125" style="112" customWidth="1"/>
    <col min="15661" max="15661" width="13.85546875" style="112" customWidth="1"/>
    <col min="15662" max="15662" width="13.5703125" style="112" customWidth="1"/>
    <col min="15663" max="15663" width="17" style="112" customWidth="1"/>
    <col min="15664" max="15664" width="13.5703125" style="112" customWidth="1"/>
    <col min="15665" max="15665" width="17.85546875" style="112" customWidth="1"/>
    <col min="15666" max="15669" width="13.5703125" style="112" customWidth="1"/>
    <col min="15670" max="15670" width="14.28515625" style="112" customWidth="1"/>
    <col min="15671" max="15671" width="14.5703125" style="112" customWidth="1"/>
    <col min="15672" max="15672" width="14.28515625" style="112" customWidth="1"/>
    <col min="15673" max="15673" width="14.5703125" style="112" customWidth="1"/>
    <col min="15674" max="15674" width="14.28515625" style="112" customWidth="1"/>
    <col min="15675" max="15678" width="14.5703125" style="112" customWidth="1"/>
    <col min="15679" max="15680" width="14.28515625" style="112" customWidth="1"/>
    <col min="15681" max="15860" width="11.42578125" style="112" customWidth="1"/>
    <col min="15861" max="15861" width="7.85546875" style="112" customWidth="1"/>
    <col min="15862" max="15863" width="11.42578125" style="112" customWidth="1"/>
    <col min="15864" max="15864" width="12.42578125" style="112" customWidth="1"/>
    <col min="15865" max="15865" width="6.28515625" style="112" customWidth="1"/>
    <col min="15866" max="15866" width="11" style="112" customWidth="1"/>
    <col min="15867" max="15871" width="11.5703125" style="112" hidden="1" customWidth="1"/>
    <col min="15872" max="15872" width="7.5703125" style="112" customWidth="1"/>
    <col min="15873" max="15873" width="15.28515625" style="112" customWidth="1"/>
    <col min="15874" max="15874" width="11.42578125" style="112" customWidth="1"/>
    <col min="15875" max="15880" width="11.5703125" style="112" hidden="1" customWidth="1"/>
    <col min="15881" max="15881" width="18.140625" style="112" customWidth="1"/>
    <col min="15882" max="15882" width="14.85546875" style="112" customWidth="1"/>
    <col min="15883" max="15883" width="14.28515625" style="112" customWidth="1"/>
    <col min="15884" max="15884" width="3.5703125" style="112" customWidth="1"/>
    <col min="15885" max="15885" width="12.42578125" style="112" customWidth="1"/>
    <col min="15886" max="15886" width="14" style="112" customWidth="1"/>
    <col min="15887" max="15888" width="18.140625" style="112" customWidth="1"/>
    <col min="15889" max="15889" width="13.42578125" style="112" customWidth="1"/>
    <col min="15890" max="15890" width="18.140625" style="112" customWidth="1"/>
    <col min="15891" max="15894" width="11.42578125" style="112" customWidth="1"/>
    <col min="15895" max="15897" width="12.28515625" style="112" customWidth="1"/>
    <col min="15898" max="15898" width="12" style="112" customWidth="1"/>
    <col min="15899" max="15899" width="11.42578125" style="112" customWidth="1"/>
    <col min="15900" max="15901" width="12.28515625" style="112" customWidth="1"/>
    <col min="15902" max="15902" width="13.140625" style="112" customWidth="1"/>
    <col min="15903" max="15903" width="13.5703125" style="112" customWidth="1"/>
    <col min="15904" max="15904" width="17.28515625" style="112" customWidth="1"/>
    <col min="15905" max="15905" width="13.85546875" style="112" customWidth="1"/>
    <col min="15906" max="15906" width="13.140625" style="112" customWidth="1"/>
    <col min="15907" max="15907" width="14.42578125" style="112" customWidth="1"/>
    <col min="15908" max="15909" width="13.5703125" style="112" customWidth="1"/>
    <col min="15910" max="15911" width="13.140625" style="112" customWidth="1"/>
    <col min="15912" max="15912" width="13.85546875" style="112" customWidth="1"/>
    <col min="15913" max="15913" width="13.5703125" style="112" customWidth="1"/>
    <col min="15914" max="15914" width="17.28515625" style="112" customWidth="1"/>
    <col min="15915" max="15915" width="13.85546875" style="112" customWidth="1"/>
    <col min="15916" max="15916" width="13.5703125" style="112" customWidth="1"/>
    <col min="15917" max="15917" width="13.85546875" style="112" customWidth="1"/>
    <col min="15918" max="15918" width="13.5703125" style="112" customWidth="1"/>
    <col min="15919" max="15919" width="17" style="112" customWidth="1"/>
    <col min="15920" max="15920" width="13.5703125" style="112" customWidth="1"/>
    <col min="15921" max="15921" width="17.85546875" style="112" customWidth="1"/>
    <col min="15922" max="15925" width="13.5703125" style="112" customWidth="1"/>
    <col min="15926" max="15926" width="14.28515625" style="112" customWidth="1"/>
    <col min="15927" max="15927" width="14.5703125" style="112" customWidth="1"/>
    <col min="15928" max="15928" width="14.28515625" style="112" customWidth="1"/>
    <col min="15929" max="15929" width="14.5703125" style="112" customWidth="1"/>
    <col min="15930" max="15930" width="14.28515625" style="112" customWidth="1"/>
    <col min="15931" max="15934" width="14.5703125" style="112" customWidth="1"/>
    <col min="15935" max="15936" width="14.28515625" style="112" customWidth="1"/>
    <col min="15937" max="16116" width="11.42578125" style="112" customWidth="1"/>
    <col min="16117" max="16117" width="7.85546875" style="112" customWidth="1"/>
    <col min="16118" max="16119" width="11.42578125" style="112" customWidth="1"/>
    <col min="16120" max="16120" width="12.42578125" style="112" customWidth="1"/>
    <col min="16121" max="16121" width="6.28515625" style="112" customWidth="1"/>
    <col min="16122" max="16122" width="11" style="112" customWidth="1"/>
    <col min="16123" max="16127" width="11.5703125" style="112" hidden="1" customWidth="1"/>
    <col min="16128" max="16128" width="7.5703125" style="112" customWidth="1"/>
    <col min="16129" max="16129" width="15.28515625" style="112" customWidth="1"/>
    <col min="16130" max="16130" width="11.42578125" style="112" customWidth="1"/>
    <col min="16131" max="16136" width="11.5703125" style="112" hidden="1" customWidth="1"/>
    <col min="16137" max="16137" width="18.140625" style="112" customWidth="1"/>
    <col min="16138" max="16138" width="14.85546875" style="112" customWidth="1"/>
    <col min="16139" max="16139" width="14.28515625" style="112" customWidth="1"/>
    <col min="16140" max="16140" width="3.5703125" style="112" customWidth="1"/>
    <col min="16141" max="16141" width="12.42578125" style="112" customWidth="1"/>
    <col min="16142" max="16142" width="14" style="112" customWidth="1"/>
    <col min="16143" max="16144" width="18.140625" style="112" customWidth="1"/>
    <col min="16145" max="16145" width="13.42578125" style="112" customWidth="1"/>
    <col min="16146" max="16146" width="18.140625" style="112" customWidth="1"/>
    <col min="16147" max="16150" width="11.42578125" style="112" customWidth="1"/>
    <col min="16151" max="16153" width="12.28515625" style="112" customWidth="1"/>
    <col min="16154" max="16154" width="12" style="112" customWidth="1"/>
    <col min="16155" max="16155" width="11.42578125" style="112" customWidth="1"/>
    <col min="16156" max="16157" width="12.28515625" style="112" customWidth="1"/>
    <col min="16158" max="16158" width="13.140625" style="112" customWidth="1"/>
    <col min="16159" max="16159" width="13.5703125" style="112" customWidth="1"/>
    <col min="16160" max="16160" width="17.28515625" style="112" customWidth="1"/>
    <col min="16161" max="16161" width="13.85546875" style="112" customWidth="1"/>
    <col min="16162" max="16162" width="13.140625" style="112" customWidth="1"/>
    <col min="16163" max="16163" width="14.42578125" style="112" customWidth="1"/>
    <col min="16164" max="16165" width="13.5703125" style="112" customWidth="1"/>
    <col min="16166" max="16167" width="13.140625" style="112" customWidth="1"/>
    <col min="16168" max="16168" width="13.85546875" style="112" customWidth="1"/>
    <col min="16169" max="16169" width="13.5703125" style="112" customWidth="1"/>
    <col min="16170" max="16170" width="17.28515625" style="112" customWidth="1"/>
    <col min="16171" max="16171" width="13.85546875" style="112" customWidth="1"/>
    <col min="16172" max="16172" width="13.5703125" style="112" customWidth="1"/>
    <col min="16173" max="16173" width="13.85546875" style="112" customWidth="1"/>
    <col min="16174" max="16174" width="13.5703125" style="112" customWidth="1"/>
    <col min="16175" max="16175" width="17" style="112" customWidth="1"/>
    <col min="16176" max="16176" width="13.5703125" style="112" customWidth="1"/>
    <col min="16177" max="16177" width="17.85546875" style="112" customWidth="1"/>
    <col min="16178" max="16181" width="13.5703125" style="112" customWidth="1"/>
    <col min="16182" max="16182" width="14.28515625" style="112" customWidth="1"/>
    <col min="16183" max="16183" width="14.5703125" style="112" customWidth="1"/>
    <col min="16184" max="16184" width="14.28515625" style="112" customWidth="1"/>
    <col min="16185" max="16185" width="14.5703125" style="112" customWidth="1"/>
    <col min="16186" max="16186" width="14.28515625" style="112" customWidth="1"/>
    <col min="16187" max="16190" width="14.5703125" style="112" customWidth="1"/>
    <col min="16191" max="16192" width="14.28515625" style="112" customWidth="1"/>
    <col min="16193" max="16384" width="11.42578125" style="112" customWidth="1"/>
  </cols>
  <sheetData>
    <row r="1" spans="1:126" ht="15.75" customHeight="1">
      <c r="A1" s="516" t="str">
        <f>RESULTADOS!B2</f>
        <v>Proyecto de Vivienda de Interes Social URIN CHILLO LOTE "A"</v>
      </c>
      <c r="B1" s="517"/>
      <c r="C1" s="517"/>
      <c r="D1" s="517"/>
      <c r="E1" s="518"/>
      <c r="F1" s="517"/>
      <c r="G1" s="517"/>
      <c r="H1" s="517"/>
      <c r="I1" s="517"/>
      <c r="J1" s="517"/>
      <c r="K1" s="519"/>
      <c r="L1" s="519"/>
      <c r="M1" s="517"/>
      <c r="N1" s="517"/>
      <c r="O1" s="517"/>
      <c r="P1" s="517"/>
      <c r="AJ1" s="117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  <c r="CB1" s="118"/>
      <c r="CC1" s="118"/>
      <c r="CD1" s="118"/>
      <c r="CE1" s="118"/>
      <c r="CF1" s="118"/>
      <c r="CG1" s="112"/>
    </row>
    <row r="2" spans="1:126" ht="15.75" customHeight="1">
      <c r="A2" s="516" t="s">
        <v>5</v>
      </c>
      <c r="B2" s="517"/>
      <c r="C2" s="517"/>
      <c r="D2" s="517"/>
      <c r="E2" s="518"/>
      <c r="F2" s="517"/>
      <c r="G2" s="517"/>
      <c r="H2" s="517"/>
      <c r="I2" s="517"/>
      <c r="J2" s="517"/>
      <c r="K2" s="519"/>
      <c r="L2" s="519"/>
      <c r="M2" s="517"/>
      <c r="N2" s="517"/>
      <c r="O2" s="517"/>
      <c r="P2" s="517"/>
      <c r="AI2" s="119"/>
      <c r="AJ2" s="341"/>
      <c r="AK2" s="341"/>
      <c r="AL2" s="341"/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341"/>
      <c r="BE2" s="341"/>
      <c r="BF2" s="341"/>
      <c r="BG2" s="341"/>
      <c r="BH2" s="341"/>
      <c r="BI2" s="341"/>
      <c r="BJ2" s="341"/>
      <c r="BK2" s="341"/>
      <c r="BL2" s="341"/>
      <c r="BM2" s="341"/>
      <c r="BN2" s="341"/>
      <c r="BO2" s="341"/>
      <c r="BP2" s="341"/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120"/>
      <c r="CG2" s="116"/>
    </row>
    <row r="3" spans="1:126" ht="15.75" customHeight="1">
      <c r="A3" s="516" t="e">
        <f>+#REF!</f>
        <v>#REF!</v>
      </c>
      <c r="B3" s="517"/>
      <c r="C3" s="517"/>
      <c r="D3" s="517"/>
      <c r="E3" s="518"/>
      <c r="F3" s="517"/>
      <c r="G3" s="517"/>
      <c r="H3" s="517"/>
      <c r="I3" s="517"/>
      <c r="J3" s="517"/>
      <c r="K3" s="519"/>
      <c r="L3" s="519"/>
      <c r="M3" s="517"/>
      <c r="N3" s="517"/>
      <c r="O3" s="517"/>
      <c r="P3" s="517"/>
      <c r="AI3" s="119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341"/>
      <c r="BE3" s="341"/>
      <c r="BF3" s="341"/>
      <c r="BG3" s="341"/>
      <c r="BH3" s="341"/>
      <c r="BI3" s="341"/>
      <c r="BJ3" s="341"/>
      <c r="BK3" s="341"/>
      <c r="BL3" s="341"/>
      <c r="BM3" s="341"/>
      <c r="BN3" s="341"/>
      <c r="BO3" s="341"/>
      <c r="BP3" s="341"/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120"/>
      <c r="CG3" s="116"/>
    </row>
    <row r="4" spans="1:126" ht="15.75" customHeight="1">
      <c r="A4" s="516"/>
      <c r="B4" s="517"/>
      <c r="C4" s="517"/>
      <c r="D4" s="517"/>
      <c r="E4" s="518"/>
      <c r="F4" s="517"/>
      <c r="G4" s="517"/>
      <c r="H4" s="517"/>
      <c r="I4" s="517"/>
      <c r="J4" s="517"/>
      <c r="K4" s="519"/>
      <c r="L4" s="519"/>
      <c r="M4" s="517"/>
      <c r="N4" s="517"/>
      <c r="O4" s="517"/>
      <c r="P4" s="517"/>
      <c r="AB4" s="116"/>
      <c r="AI4" s="119"/>
      <c r="AJ4" s="121"/>
      <c r="AK4" s="121"/>
      <c r="AL4" s="121"/>
      <c r="AM4" s="12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341"/>
      <c r="BE4" s="341"/>
      <c r="BF4" s="341"/>
      <c r="BG4" s="341"/>
      <c r="BH4" s="341"/>
      <c r="BI4" s="341"/>
      <c r="BJ4" s="341"/>
      <c r="BK4" s="341"/>
      <c r="BL4" s="341"/>
      <c r="BM4" s="341"/>
      <c r="BN4" s="341"/>
      <c r="BO4" s="341"/>
      <c r="BP4" s="341"/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120"/>
      <c r="CG4" s="116"/>
    </row>
    <row r="5" spans="1:126" s="116" customFormat="1" ht="15" customHeight="1">
      <c r="A5" s="122"/>
      <c r="E5" s="123"/>
      <c r="K5" s="124"/>
      <c r="L5" s="124"/>
      <c r="Z5" s="125"/>
      <c r="AI5" s="119"/>
      <c r="AJ5" s="121"/>
      <c r="AK5" s="121"/>
      <c r="AL5" s="121"/>
      <c r="AM5" s="121"/>
    </row>
    <row r="6" spans="1:126" ht="15.75" customHeight="1">
      <c r="AH6" s="126"/>
      <c r="AI6" s="119"/>
      <c r="AJ6" s="121"/>
      <c r="AK6" s="121"/>
      <c r="AL6" s="121"/>
      <c r="AM6" s="121"/>
      <c r="AN6" s="126"/>
      <c r="AO6" s="119"/>
      <c r="AP6" s="119"/>
      <c r="AR6" s="126"/>
      <c r="AS6" s="119"/>
      <c r="AT6" s="119"/>
      <c r="AU6" s="119"/>
      <c r="AX6" s="119"/>
      <c r="BG6" s="127"/>
      <c r="BH6" s="119"/>
      <c r="BJ6" s="127"/>
      <c r="BO6" s="127"/>
      <c r="BP6" s="127"/>
      <c r="BW6" s="127"/>
    </row>
    <row r="7" spans="1:126" ht="34.5" customHeight="1">
      <c r="A7" s="128" t="s">
        <v>267</v>
      </c>
      <c r="B7" s="342" t="s">
        <v>268</v>
      </c>
      <c r="C7" s="129" t="s">
        <v>83</v>
      </c>
      <c r="D7" s="129" t="s">
        <v>269</v>
      </c>
      <c r="E7" s="129" t="s">
        <v>270</v>
      </c>
      <c r="F7" s="342" t="s">
        <v>271</v>
      </c>
      <c r="G7" s="130" t="s">
        <v>272</v>
      </c>
      <c r="H7" s="131" t="s">
        <v>273</v>
      </c>
      <c r="I7" s="131"/>
      <c r="J7" s="131"/>
      <c r="K7" s="132"/>
      <c r="L7" s="132"/>
      <c r="M7" s="131"/>
      <c r="N7" s="343" t="s">
        <v>274</v>
      </c>
      <c r="O7" s="129" t="s">
        <v>275</v>
      </c>
      <c r="P7" s="130" t="s">
        <v>276</v>
      </c>
      <c r="AH7" s="119"/>
      <c r="AI7" s="133"/>
      <c r="AJ7" s="121"/>
      <c r="AK7" s="121"/>
      <c r="AL7" s="121"/>
      <c r="AM7" s="121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</row>
    <row r="8" spans="1:126" ht="14.25" customHeight="1">
      <c r="A8" s="344" t="s">
        <v>277</v>
      </c>
      <c r="B8" s="134" t="s">
        <v>278</v>
      </c>
      <c r="C8" s="134">
        <f>COUNTIF($C$17:$C$116,B8)</f>
        <v>16</v>
      </c>
      <c r="D8" s="345">
        <f>AVERAGEIF($C$17:$C$116,B8,$N$17:$N$116)</f>
        <v>1120</v>
      </c>
      <c r="E8" s="135">
        <f>AVERAGEIF($C$17:$C$116,B8,$G$17:$G$116)</f>
        <v>53.519999999999989</v>
      </c>
      <c r="F8" s="345">
        <f>AVERAGEIF($C$17:$C$116,B8,$O$17:$O$116)</f>
        <v>67105.746000000014</v>
      </c>
      <c r="G8" s="346">
        <f>+C8*F8</f>
        <v>1073691.9360000002</v>
      </c>
      <c r="H8" s="134">
        <f>C8*E8</f>
        <v>856.31999999999982</v>
      </c>
      <c r="I8" s="345"/>
      <c r="J8" s="345"/>
      <c r="K8" s="347"/>
      <c r="L8" s="347"/>
      <c r="M8" s="345"/>
      <c r="N8" s="136">
        <v>0.01</v>
      </c>
      <c r="O8" s="136">
        <v>0.04</v>
      </c>
      <c r="P8" s="137">
        <v>0.95</v>
      </c>
      <c r="V8" s="348" t="s">
        <v>279</v>
      </c>
      <c r="W8" s="349"/>
      <c r="X8" s="138"/>
      <c r="Y8" s="138"/>
      <c r="Z8" s="138"/>
      <c r="AA8" s="138"/>
      <c r="AB8" s="138"/>
      <c r="AC8" s="350"/>
      <c r="AD8" s="350"/>
      <c r="AE8" s="350"/>
      <c r="AF8" s="350"/>
      <c r="AG8" s="350"/>
      <c r="AH8" s="350"/>
      <c r="AI8" s="350"/>
      <c r="AJ8" s="350"/>
      <c r="AK8" s="350"/>
      <c r="AL8" s="350"/>
      <c r="AM8" s="350"/>
      <c r="AN8" s="350"/>
      <c r="AO8" s="351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</row>
    <row r="9" spans="1:126" ht="14.25" customHeight="1">
      <c r="A9" s="352" t="s">
        <v>277</v>
      </c>
      <c r="B9" s="139" t="s">
        <v>280</v>
      </c>
      <c r="C9" s="139">
        <f>COUNTIF($C$17:$C$116,B9)</f>
        <v>36</v>
      </c>
      <c r="D9" s="351">
        <f>AVERAGEIF($C$17:$C$116,B9,$N$17:$N$116)</f>
        <v>994</v>
      </c>
      <c r="E9" s="140">
        <f>AVERAGEIF($C$17:$C$116,B9,$G$17:$G$116)</f>
        <v>75.09</v>
      </c>
      <c r="F9" s="351">
        <f>AVERAGEIF($C$17:$C$116,B9,$O$17:$O$116)</f>
        <v>82129.194888888887</v>
      </c>
      <c r="G9" s="353">
        <f>+C9*F9</f>
        <v>2956651.0159999998</v>
      </c>
      <c r="H9" s="139">
        <f>C9*E9</f>
        <v>2703.2400000000002</v>
      </c>
      <c r="I9" s="351"/>
      <c r="J9" s="351"/>
      <c r="K9" s="354"/>
      <c r="L9" s="354"/>
      <c r="M9" s="351"/>
      <c r="N9" s="141">
        <v>0.01</v>
      </c>
      <c r="O9" s="141">
        <v>0.04</v>
      </c>
      <c r="P9" s="142">
        <v>0.95</v>
      </c>
      <c r="V9" s="520" t="s">
        <v>281</v>
      </c>
      <c r="W9" s="487"/>
      <c r="X9" s="143">
        <f>COUNT(X35:X50)</f>
        <v>1</v>
      </c>
      <c r="Y9" s="143">
        <f t="shared" ref="Y9:BD9" si="0">COUNTBLANK(X35:X50)-COUNTBLANK(Y35:Y50)</f>
        <v>1</v>
      </c>
      <c r="Z9" s="143">
        <f t="shared" si="0"/>
        <v>1</v>
      </c>
      <c r="AA9" s="143">
        <f t="shared" si="0"/>
        <v>1</v>
      </c>
      <c r="AB9" s="143">
        <f t="shared" si="0"/>
        <v>1</v>
      </c>
      <c r="AC9" s="143">
        <f t="shared" si="0"/>
        <v>2</v>
      </c>
      <c r="AD9" s="143">
        <f t="shared" si="0"/>
        <v>2</v>
      </c>
      <c r="AE9" s="143">
        <f t="shared" si="0"/>
        <v>2</v>
      </c>
      <c r="AF9" s="143">
        <f t="shared" si="0"/>
        <v>2</v>
      </c>
      <c r="AG9" s="143">
        <f t="shared" si="0"/>
        <v>2</v>
      </c>
      <c r="AH9" s="143">
        <f t="shared" si="0"/>
        <v>1</v>
      </c>
      <c r="AI9" s="143">
        <f t="shared" si="0"/>
        <v>0</v>
      </c>
      <c r="AJ9" s="143">
        <f t="shared" si="0"/>
        <v>0</v>
      </c>
      <c r="AK9" s="143">
        <f t="shared" si="0"/>
        <v>0</v>
      </c>
      <c r="AL9" s="143">
        <f t="shared" si="0"/>
        <v>0</v>
      </c>
      <c r="AM9" s="143">
        <f t="shared" si="0"/>
        <v>0</v>
      </c>
      <c r="AN9" s="143">
        <f t="shared" si="0"/>
        <v>0</v>
      </c>
      <c r="AO9" s="143">
        <f t="shared" si="0"/>
        <v>0</v>
      </c>
      <c r="AP9" s="143">
        <f t="shared" si="0"/>
        <v>0</v>
      </c>
      <c r="AQ9" s="143">
        <f t="shared" si="0"/>
        <v>0</v>
      </c>
      <c r="AR9" s="143">
        <f t="shared" si="0"/>
        <v>0</v>
      </c>
      <c r="AS9" s="143">
        <f t="shared" si="0"/>
        <v>0</v>
      </c>
      <c r="AT9" s="143">
        <f t="shared" si="0"/>
        <v>0</v>
      </c>
      <c r="AU9" s="143">
        <f t="shared" si="0"/>
        <v>0</v>
      </c>
      <c r="AV9" s="143">
        <f t="shared" si="0"/>
        <v>0</v>
      </c>
      <c r="AW9" s="143">
        <f t="shared" si="0"/>
        <v>0</v>
      </c>
      <c r="AX9" s="143">
        <f t="shared" si="0"/>
        <v>0</v>
      </c>
      <c r="AY9" s="143">
        <f t="shared" si="0"/>
        <v>0</v>
      </c>
      <c r="AZ9" s="143">
        <f t="shared" si="0"/>
        <v>0</v>
      </c>
      <c r="BA9" s="143">
        <f t="shared" si="0"/>
        <v>0</v>
      </c>
      <c r="BB9" s="143">
        <f t="shared" si="0"/>
        <v>0</v>
      </c>
      <c r="BC9" s="143">
        <f t="shared" si="0"/>
        <v>0</v>
      </c>
      <c r="BD9" s="143">
        <f t="shared" si="0"/>
        <v>0</v>
      </c>
      <c r="BE9" s="143">
        <f t="shared" ref="BE9:CJ9" si="1">COUNTBLANK(BD35:BD50)-COUNTBLANK(BE35:BE50)</f>
        <v>0</v>
      </c>
      <c r="BF9" s="143">
        <f t="shared" si="1"/>
        <v>0</v>
      </c>
      <c r="BG9" s="143">
        <f t="shared" si="1"/>
        <v>0</v>
      </c>
      <c r="BH9" s="143">
        <f t="shared" si="1"/>
        <v>0</v>
      </c>
      <c r="BI9" s="143">
        <f t="shared" si="1"/>
        <v>0</v>
      </c>
      <c r="BJ9" s="143">
        <f t="shared" si="1"/>
        <v>0</v>
      </c>
      <c r="BK9" s="143">
        <f t="shared" si="1"/>
        <v>0</v>
      </c>
      <c r="BL9" s="143">
        <f t="shared" si="1"/>
        <v>0</v>
      </c>
      <c r="BM9" s="143">
        <f t="shared" si="1"/>
        <v>0</v>
      </c>
      <c r="BN9" s="143">
        <f t="shared" si="1"/>
        <v>0</v>
      </c>
      <c r="BO9" s="143">
        <f t="shared" si="1"/>
        <v>0</v>
      </c>
      <c r="BP9" s="143">
        <f t="shared" si="1"/>
        <v>0</v>
      </c>
      <c r="BQ9" s="143">
        <f t="shared" si="1"/>
        <v>0</v>
      </c>
      <c r="BR9" s="143">
        <f t="shared" si="1"/>
        <v>0</v>
      </c>
      <c r="BS9" s="143">
        <f t="shared" si="1"/>
        <v>0</v>
      </c>
      <c r="BT9" s="143">
        <f t="shared" si="1"/>
        <v>0</v>
      </c>
      <c r="BU9" s="143">
        <f t="shared" si="1"/>
        <v>0</v>
      </c>
      <c r="BV9" s="143">
        <f t="shared" si="1"/>
        <v>0</v>
      </c>
      <c r="BW9" s="143">
        <f t="shared" si="1"/>
        <v>0</v>
      </c>
      <c r="BX9" s="143">
        <f t="shared" si="1"/>
        <v>0</v>
      </c>
      <c r="BY9" s="143">
        <f t="shared" si="1"/>
        <v>0</v>
      </c>
      <c r="BZ9" s="143">
        <f t="shared" si="1"/>
        <v>0</v>
      </c>
      <c r="CA9" s="143">
        <f t="shared" si="1"/>
        <v>0</v>
      </c>
      <c r="CB9" s="143">
        <f t="shared" si="1"/>
        <v>0</v>
      </c>
      <c r="CC9" s="143">
        <f t="shared" si="1"/>
        <v>0</v>
      </c>
      <c r="CD9" s="143">
        <f t="shared" si="1"/>
        <v>0</v>
      </c>
      <c r="CE9" s="143">
        <f t="shared" si="1"/>
        <v>0</v>
      </c>
      <c r="CF9" s="143">
        <f t="shared" si="1"/>
        <v>0</v>
      </c>
      <c r="CG9" s="143">
        <f t="shared" si="1"/>
        <v>0</v>
      </c>
      <c r="CH9" s="143">
        <f t="shared" si="1"/>
        <v>0</v>
      </c>
      <c r="CI9" s="143">
        <f t="shared" si="1"/>
        <v>0</v>
      </c>
      <c r="CJ9" s="143">
        <f t="shared" si="1"/>
        <v>0</v>
      </c>
      <c r="CK9" s="143">
        <f t="shared" ref="CK9:DS9" si="2">COUNTBLANK(CJ35:CJ50)-COUNTBLANK(CK35:CK50)</f>
        <v>0</v>
      </c>
      <c r="CL9" s="143">
        <f t="shared" si="2"/>
        <v>0</v>
      </c>
      <c r="CM9" s="143">
        <f t="shared" si="2"/>
        <v>0</v>
      </c>
      <c r="CN9" s="143">
        <f t="shared" si="2"/>
        <v>0</v>
      </c>
      <c r="CO9" s="143">
        <f t="shared" si="2"/>
        <v>0</v>
      </c>
      <c r="CP9" s="143">
        <f t="shared" si="2"/>
        <v>0</v>
      </c>
      <c r="CQ9" s="143">
        <f t="shared" si="2"/>
        <v>0</v>
      </c>
      <c r="CR9" s="143">
        <f t="shared" si="2"/>
        <v>0</v>
      </c>
      <c r="CS9" s="143">
        <f t="shared" si="2"/>
        <v>0</v>
      </c>
      <c r="CT9" s="143">
        <f t="shared" si="2"/>
        <v>0</v>
      </c>
      <c r="CU9" s="143">
        <f t="shared" si="2"/>
        <v>0</v>
      </c>
      <c r="CV9" s="143">
        <f t="shared" si="2"/>
        <v>0</v>
      </c>
      <c r="CW9" s="143">
        <f t="shared" si="2"/>
        <v>0</v>
      </c>
      <c r="CX9" s="143">
        <f t="shared" si="2"/>
        <v>0</v>
      </c>
      <c r="CY9" s="143">
        <f t="shared" si="2"/>
        <v>0</v>
      </c>
      <c r="CZ9" s="143">
        <f t="shared" si="2"/>
        <v>0</v>
      </c>
      <c r="DA9" s="143">
        <f t="shared" si="2"/>
        <v>0</v>
      </c>
      <c r="DB9" s="143">
        <f t="shared" si="2"/>
        <v>0</v>
      </c>
      <c r="DC9" s="143">
        <f t="shared" si="2"/>
        <v>0</v>
      </c>
      <c r="DD9" s="143">
        <f t="shared" si="2"/>
        <v>0</v>
      </c>
      <c r="DE9" s="143">
        <f t="shared" si="2"/>
        <v>0</v>
      </c>
      <c r="DF9" s="143">
        <f t="shared" si="2"/>
        <v>0</v>
      </c>
      <c r="DG9" s="143">
        <f t="shared" si="2"/>
        <v>0</v>
      </c>
      <c r="DH9" s="143">
        <f t="shared" si="2"/>
        <v>0</v>
      </c>
      <c r="DI9" s="143">
        <f t="shared" si="2"/>
        <v>0</v>
      </c>
      <c r="DJ9" s="143">
        <f t="shared" si="2"/>
        <v>0</v>
      </c>
      <c r="DK9" s="143">
        <f t="shared" si="2"/>
        <v>0</v>
      </c>
      <c r="DL9" s="143">
        <f t="shared" si="2"/>
        <v>0</v>
      </c>
      <c r="DM9" s="143">
        <f t="shared" si="2"/>
        <v>0</v>
      </c>
      <c r="DN9" s="143">
        <f t="shared" si="2"/>
        <v>0</v>
      </c>
      <c r="DO9" s="143">
        <f t="shared" si="2"/>
        <v>0</v>
      </c>
      <c r="DP9" s="143">
        <f t="shared" si="2"/>
        <v>0</v>
      </c>
      <c r="DQ9" s="143">
        <f t="shared" si="2"/>
        <v>0</v>
      </c>
      <c r="DR9" s="143">
        <f t="shared" si="2"/>
        <v>0</v>
      </c>
      <c r="DS9" s="143">
        <f t="shared" si="2"/>
        <v>0</v>
      </c>
      <c r="DT9" s="144">
        <f>SUM(X9:DS9)</f>
        <v>16</v>
      </c>
      <c r="DU9" s="138"/>
    </row>
    <row r="10" spans="1:126" ht="14.25" customHeight="1">
      <c r="A10" s="352" t="s">
        <v>277</v>
      </c>
      <c r="B10" s="139" t="s">
        <v>282</v>
      </c>
      <c r="C10" s="139">
        <f>COUNTIF($C$17:$C$116,B10)</f>
        <v>48</v>
      </c>
      <c r="D10" s="351">
        <f>AVERAGEIF($C$17:$C$116,B10,$N$17:$N$116)</f>
        <v>945</v>
      </c>
      <c r="E10" s="140">
        <f>AVERAGEIF($C$17:$C$116,B10,$G$17:$G$116)</f>
        <v>64.610000000000014</v>
      </c>
      <c r="F10" s="351">
        <f>AVERAGEIF($C$17:$C$116,B10,$O$17:$O$116)</f>
        <v>63556.450000000041</v>
      </c>
      <c r="G10" s="353">
        <f>+C10*F10</f>
        <v>3050709.600000002</v>
      </c>
      <c r="H10" s="139">
        <f>C10*E10</f>
        <v>3101.2800000000007</v>
      </c>
      <c r="I10" s="351"/>
      <c r="J10" s="351"/>
      <c r="K10" s="354"/>
      <c r="L10" s="354"/>
      <c r="M10" s="351"/>
      <c r="N10" s="141">
        <v>0.01</v>
      </c>
      <c r="O10" s="141">
        <v>0.04</v>
      </c>
      <c r="P10" s="142">
        <v>0.95</v>
      </c>
      <c r="V10" s="520" t="s">
        <v>283</v>
      </c>
      <c r="W10" s="487"/>
      <c r="X10" s="143">
        <f>COUNT(X17:X34)</f>
        <v>1</v>
      </c>
      <c r="Y10" s="143">
        <f t="shared" ref="Y10:BD10" si="3">COUNTBLANK(X17:X34)-COUNTBLANK(Y17:Y34)</f>
        <v>2</v>
      </c>
      <c r="Z10" s="143">
        <f t="shared" si="3"/>
        <v>2</v>
      </c>
      <c r="AA10" s="143">
        <f t="shared" si="3"/>
        <v>2</v>
      </c>
      <c r="AB10" s="143">
        <f t="shared" si="3"/>
        <v>2</v>
      </c>
      <c r="AC10" s="143">
        <f t="shared" si="3"/>
        <v>2</v>
      </c>
      <c r="AD10" s="143">
        <f t="shared" si="3"/>
        <v>2</v>
      </c>
      <c r="AE10" s="143">
        <f t="shared" si="3"/>
        <v>2</v>
      </c>
      <c r="AF10" s="143">
        <f t="shared" si="3"/>
        <v>2</v>
      </c>
      <c r="AG10" s="143">
        <f t="shared" si="3"/>
        <v>1</v>
      </c>
      <c r="AH10" s="143">
        <f t="shared" si="3"/>
        <v>0</v>
      </c>
      <c r="AI10" s="143">
        <f t="shared" si="3"/>
        <v>0</v>
      </c>
      <c r="AJ10" s="143">
        <f t="shared" si="3"/>
        <v>0</v>
      </c>
      <c r="AK10" s="143">
        <f t="shared" si="3"/>
        <v>0</v>
      </c>
      <c r="AL10" s="143">
        <f t="shared" si="3"/>
        <v>0</v>
      </c>
      <c r="AM10" s="143">
        <f t="shared" si="3"/>
        <v>0</v>
      </c>
      <c r="AN10" s="143">
        <f t="shared" si="3"/>
        <v>0</v>
      </c>
      <c r="AO10" s="143">
        <f t="shared" si="3"/>
        <v>0</v>
      </c>
      <c r="AP10" s="143">
        <f t="shared" si="3"/>
        <v>0</v>
      </c>
      <c r="AQ10" s="143">
        <f t="shared" si="3"/>
        <v>0</v>
      </c>
      <c r="AR10" s="143">
        <f t="shared" si="3"/>
        <v>0</v>
      </c>
      <c r="AS10" s="143">
        <f t="shared" si="3"/>
        <v>0</v>
      </c>
      <c r="AT10" s="143">
        <f t="shared" si="3"/>
        <v>0</v>
      </c>
      <c r="AU10" s="143">
        <f t="shared" si="3"/>
        <v>0</v>
      </c>
      <c r="AV10" s="143">
        <f t="shared" si="3"/>
        <v>0</v>
      </c>
      <c r="AW10" s="143">
        <f t="shared" si="3"/>
        <v>0</v>
      </c>
      <c r="AX10" s="143">
        <f t="shared" si="3"/>
        <v>0</v>
      </c>
      <c r="AY10" s="143">
        <f t="shared" si="3"/>
        <v>0</v>
      </c>
      <c r="AZ10" s="143">
        <f t="shared" si="3"/>
        <v>0</v>
      </c>
      <c r="BA10" s="143">
        <f t="shared" si="3"/>
        <v>0</v>
      </c>
      <c r="BB10" s="143">
        <f t="shared" si="3"/>
        <v>0</v>
      </c>
      <c r="BC10" s="143">
        <f t="shared" si="3"/>
        <v>0</v>
      </c>
      <c r="BD10" s="143">
        <f t="shared" si="3"/>
        <v>0</v>
      </c>
      <c r="BE10" s="143">
        <f t="shared" ref="BE10:CJ10" si="4">COUNTBLANK(BD17:BD34)-COUNTBLANK(BE17:BE34)</f>
        <v>0</v>
      </c>
      <c r="BF10" s="143">
        <f t="shared" si="4"/>
        <v>0</v>
      </c>
      <c r="BG10" s="143">
        <f t="shared" si="4"/>
        <v>0</v>
      </c>
      <c r="BH10" s="143">
        <f t="shared" si="4"/>
        <v>0</v>
      </c>
      <c r="BI10" s="143">
        <f t="shared" si="4"/>
        <v>0</v>
      </c>
      <c r="BJ10" s="143">
        <f t="shared" si="4"/>
        <v>0</v>
      </c>
      <c r="BK10" s="143">
        <f t="shared" si="4"/>
        <v>0</v>
      </c>
      <c r="BL10" s="143">
        <f t="shared" si="4"/>
        <v>0</v>
      </c>
      <c r="BM10" s="143">
        <f t="shared" si="4"/>
        <v>0</v>
      </c>
      <c r="BN10" s="143">
        <f t="shared" si="4"/>
        <v>0</v>
      </c>
      <c r="BO10" s="143">
        <f t="shared" si="4"/>
        <v>0</v>
      </c>
      <c r="BP10" s="143">
        <f t="shared" si="4"/>
        <v>0</v>
      </c>
      <c r="BQ10" s="143">
        <f t="shared" si="4"/>
        <v>0</v>
      </c>
      <c r="BR10" s="143">
        <f t="shared" si="4"/>
        <v>0</v>
      </c>
      <c r="BS10" s="143">
        <f t="shared" si="4"/>
        <v>0</v>
      </c>
      <c r="BT10" s="143">
        <f t="shared" si="4"/>
        <v>0</v>
      </c>
      <c r="BU10" s="143">
        <f t="shared" si="4"/>
        <v>0</v>
      </c>
      <c r="BV10" s="143">
        <f t="shared" si="4"/>
        <v>0</v>
      </c>
      <c r="BW10" s="143">
        <f t="shared" si="4"/>
        <v>0</v>
      </c>
      <c r="BX10" s="143">
        <f t="shared" si="4"/>
        <v>0</v>
      </c>
      <c r="BY10" s="143">
        <f t="shared" si="4"/>
        <v>0</v>
      </c>
      <c r="BZ10" s="143">
        <f t="shared" si="4"/>
        <v>0</v>
      </c>
      <c r="CA10" s="143">
        <f t="shared" si="4"/>
        <v>0</v>
      </c>
      <c r="CB10" s="143">
        <f t="shared" si="4"/>
        <v>0</v>
      </c>
      <c r="CC10" s="143">
        <f t="shared" si="4"/>
        <v>0</v>
      </c>
      <c r="CD10" s="143">
        <f t="shared" si="4"/>
        <v>0</v>
      </c>
      <c r="CE10" s="143">
        <f t="shared" si="4"/>
        <v>0</v>
      </c>
      <c r="CF10" s="143">
        <f t="shared" si="4"/>
        <v>0</v>
      </c>
      <c r="CG10" s="143">
        <f t="shared" si="4"/>
        <v>0</v>
      </c>
      <c r="CH10" s="143">
        <f t="shared" si="4"/>
        <v>0</v>
      </c>
      <c r="CI10" s="143">
        <f t="shared" si="4"/>
        <v>0</v>
      </c>
      <c r="CJ10" s="143">
        <f t="shared" si="4"/>
        <v>0</v>
      </c>
      <c r="CK10" s="143">
        <f t="shared" ref="CK10:DS10" si="5">COUNTBLANK(CJ17:CJ34)-COUNTBLANK(CK17:CK34)</f>
        <v>0</v>
      </c>
      <c r="CL10" s="143">
        <f t="shared" si="5"/>
        <v>0</v>
      </c>
      <c r="CM10" s="143">
        <f t="shared" si="5"/>
        <v>0</v>
      </c>
      <c r="CN10" s="143">
        <f t="shared" si="5"/>
        <v>0</v>
      </c>
      <c r="CO10" s="143">
        <f t="shared" si="5"/>
        <v>0</v>
      </c>
      <c r="CP10" s="143">
        <f t="shared" si="5"/>
        <v>0</v>
      </c>
      <c r="CQ10" s="143">
        <f t="shared" si="5"/>
        <v>0</v>
      </c>
      <c r="CR10" s="143">
        <f t="shared" si="5"/>
        <v>0</v>
      </c>
      <c r="CS10" s="143">
        <f t="shared" si="5"/>
        <v>0</v>
      </c>
      <c r="CT10" s="143">
        <f t="shared" si="5"/>
        <v>0</v>
      </c>
      <c r="CU10" s="143">
        <f t="shared" si="5"/>
        <v>0</v>
      </c>
      <c r="CV10" s="143">
        <f t="shared" si="5"/>
        <v>0</v>
      </c>
      <c r="CW10" s="143">
        <f t="shared" si="5"/>
        <v>0</v>
      </c>
      <c r="CX10" s="143">
        <f t="shared" si="5"/>
        <v>0</v>
      </c>
      <c r="CY10" s="143">
        <f t="shared" si="5"/>
        <v>0</v>
      </c>
      <c r="CZ10" s="143">
        <f t="shared" si="5"/>
        <v>0</v>
      </c>
      <c r="DA10" s="143">
        <f t="shared" si="5"/>
        <v>0</v>
      </c>
      <c r="DB10" s="143">
        <f t="shared" si="5"/>
        <v>0</v>
      </c>
      <c r="DC10" s="143">
        <f t="shared" si="5"/>
        <v>0</v>
      </c>
      <c r="DD10" s="143">
        <f t="shared" si="5"/>
        <v>0</v>
      </c>
      <c r="DE10" s="143">
        <f t="shared" si="5"/>
        <v>0</v>
      </c>
      <c r="DF10" s="143">
        <f t="shared" si="5"/>
        <v>0</v>
      </c>
      <c r="DG10" s="143">
        <f t="shared" si="5"/>
        <v>0</v>
      </c>
      <c r="DH10" s="143">
        <f t="shared" si="5"/>
        <v>0</v>
      </c>
      <c r="DI10" s="143">
        <f t="shared" si="5"/>
        <v>0</v>
      </c>
      <c r="DJ10" s="143">
        <f t="shared" si="5"/>
        <v>0</v>
      </c>
      <c r="DK10" s="143">
        <f t="shared" si="5"/>
        <v>0</v>
      </c>
      <c r="DL10" s="143">
        <f t="shared" si="5"/>
        <v>0</v>
      </c>
      <c r="DM10" s="143">
        <f t="shared" si="5"/>
        <v>0</v>
      </c>
      <c r="DN10" s="143">
        <f t="shared" si="5"/>
        <v>0</v>
      </c>
      <c r="DO10" s="143">
        <f t="shared" si="5"/>
        <v>0</v>
      </c>
      <c r="DP10" s="143">
        <f t="shared" si="5"/>
        <v>0</v>
      </c>
      <c r="DQ10" s="143">
        <f t="shared" si="5"/>
        <v>0</v>
      </c>
      <c r="DR10" s="143">
        <f t="shared" si="5"/>
        <v>0</v>
      </c>
      <c r="DS10" s="143">
        <f t="shared" si="5"/>
        <v>0</v>
      </c>
      <c r="DT10" s="144">
        <f>SUM(X10:DS10)</f>
        <v>18</v>
      </c>
      <c r="DU10" s="138"/>
    </row>
    <row r="11" spans="1:126" ht="15" customHeight="1">
      <c r="A11" s="352"/>
      <c r="B11" s="139"/>
      <c r="C11" s="139"/>
      <c r="D11" s="351"/>
      <c r="E11" s="140"/>
      <c r="F11" s="351"/>
      <c r="G11" s="353"/>
      <c r="H11" s="351"/>
      <c r="I11" s="351"/>
      <c r="J11" s="351"/>
      <c r="K11" s="354"/>
      <c r="L11" s="354"/>
      <c r="M11" s="351"/>
      <c r="N11" s="141"/>
      <c r="O11" s="141"/>
      <c r="P11" s="142"/>
      <c r="V11" s="520" t="s">
        <v>284</v>
      </c>
      <c r="W11" s="487"/>
      <c r="X11" s="143">
        <f>COUNT(X51:X68)</f>
        <v>0</v>
      </c>
      <c r="Y11" s="143">
        <f t="shared" ref="Y11:BD11" si="6">COUNTBLANK(X51:X68)-COUNTBLANK(Y51:Y68)</f>
        <v>1</v>
      </c>
      <c r="Z11" s="143">
        <f t="shared" si="6"/>
        <v>2</v>
      </c>
      <c r="AA11" s="143">
        <f t="shared" si="6"/>
        <v>2</v>
      </c>
      <c r="AB11" s="143">
        <f t="shared" si="6"/>
        <v>2</v>
      </c>
      <c r="AC11" s="143">
        <f t="shared" si="6"/>
        <v>2</v>
      </c>
      <c r="AD11" s="143">
        <f t="shared" si="6"/>
        <v>2</v>
      </c>
      <c r="AE11" s="143">
        <f t="shared" si="6"/>
        <v>2</v>
      </c>
      <c r="AF11" s="143">
        <f t="shared" si="6"/>
        <v>2</v>
      </c>
      <c r="AG11" s="143">
        <f t="shared" si="6"/>
        <v>2</v>
      </c>
      <c r="AH11" s="143">
        <f t="shared" si="6"/>
        <v>1</v>
      </c>
      <c r="AI11" s="143">
        <f t="shared" si="6"/>
        <v>0</v>
      </c>
      <c r="AJ11" s="143">
        <f t="shared" si="6"/>
        <v>0</v>
      </c>
      <c r="AK11" s="143">
        <f t="shared" si="6"/>
        <v>0</v>
      </c>
      <c r="AL11" s="143">
        <f t="shared" si="6"/>
        <v>0</v>
      </c>
      <c r="AM11" s="143">
        <f t="shared" si="6"/>
        <v>0</v>
      </c>
      <c r="AN11" s="143">
        <f t="shared" si="6"/>
        <v>0</v>
      </c>
      <c r="AO11" s="143">
        <f t="shared" si="6"/>
        <v>0</v>
      </c>
      <c r="AP11" s="143">
        <f t="shared" si="6"/>
        <v>0</v>
      </c>
      <c r="AQ11" s="143">
        <f t="shared" si="6"/>
        <v>0</v>
      </c>
      <c r="AR11" s="143">
        <f t="shared" si="6"/>
        <v>0</v>
      </c>
      <c r="AS11" s="143">
        <f t="shared" si="6"/>
        <v>0</v>
      </c>
      <c r="AT11" s="143">
        <f t="shared" si="6"/>
        <v>0</v>
      </c>
      <c r="AU11" s="143">
        <f t="shared" si="6"/>
        <v>0</v>
      </c>
      <c r="AV11" s="143">
        <f t="shared" si="6"/>
        <v>0</v>
      </c>
      <c r="AW11" s="143">
        <f t="shared" si="6"/>
        <v>0</v>
      </c>
      <c r="AX11" s="143">
        <f t="shared" si="6"/>
        <v>0</v>
      </c>
      <c r="AY11" s="143">
        <f t="shared" si="6"/>
        <v>0</v>
      </c>
      <c r="AZ11" s="143">
        <f t="shared" si="6"/>
        <v>0</v>
      </c>
      <c r="BA11" s="143">
        <f t="shared" si="6"/>
        <v>0</v>
      </c>
      <c r="BB11" s="143">
        <f t="shared" si="6"/>
        <v>0</v>
      </c>
      <c r="BC11" s="143">
        <f t="shared" si="6"/>
        <v>0</v>
      </c>
      <c r="BD11" s="143">
        <f t="shared" si="6"/>
        <v>0</v>
      </c>
      <c r="BE11" s="143">
        <f t="shared" ref="BE11:CJ11" si="7">COUNTBLANK(BD51:BD68)-COUNTBLANK(BE51:BE68)</f>
        <v>0</v>
      </c>
      <c r="BF11" s="143">
        <f t="shared" si="7"/>
        <v>0</v>
      </c>
      <c r="BG11" s="143">
        <f t="shared" si="7"/>
        <v>0</v>
      </c>
      <c r="BH11" s="143">
        <f t="shared" si="7"/>
        <v>0</v>
      </c>
      <c r="BI11" s="143">
        <f t="shared" si="7"/>
        <v>0</v>
      </c>
      <c r="BJ11" s="143">
        <f t="shared" si="7"/>
        <v>0</v>
      </c>
      <c r="BK11" s="143">
        <f t="shared" si="7"/>
        <v>0</v>
      </c>
      <c r="BL11" s="143">
        <f t="shared" si="7"/>
        <v>0</v>
      </c>
      <c r="BM11" s="143">
        <f t="shared" si="7"/>
        <v>0</v>
      </c>
      <c r="BN11" s="143">
        <f t="shared" si="7"/>
        <v>0</v>
      </c>
      <c r="BO11" s="143">
        <f t="shared" si="7"/>
        <v>0</v>
      </c>
      <c r="BP11" s="143">
        <f t="shared" si="7"/>
        <v>0</v>
      </c>
      <c r="BQ11" s="143">
        <f t="shared" si="7"/>
        <v>0</v>
      </c>
      <c r="BR11" s="143">
        <f t="shared" si="7"/>
        <v>0</v>
      </c>
      <c r="BS11" s="143">
        <f t="shared" si="7"/>
        <v>0</v>
      </c>
      <c r="BT11" s="143">
        <f t="shared" si="7"/>
        <v>0</v>
      </c>
      <c r="BU11" s="143">
        <f t="shared" si="7"/>
        <v>0</v>
      </c>
      <c r="BV11" s="143">
        <f t="shared" si="7"/>
        <v>0</v>
      </c>
      <c r="BW11" s="143">
        <f t="shared" si="7"/>
        <v>0</v>
      </c>
      <c r="BX11" s="143">
        <f t="shared" si="7"/>
        <v>0</v>
      </c>
      <c r="BY11" s="143">
        <f t="shared" si="7"/>
        <v>0</v>
      </c>
      <c r="BZ11" s="143">
        <f t="shared" si="7"/>
        <v>0</v>
      </c>
      <c r="CA11" s="143">
        <f t="shared" si="7"/>
        <v>0</v>
      </c>
      <c r="CB11" s="143">
        <f t="shared" si="7"/>
        <v>0</v>
      </c>
      <c r="CC11" s="143">
        <f t="shared" si="7"/>
        <v>0</v>
      </c>
      <c r="CD11" s="143">
        <f t="shared" si="7"/>
        <v>0</v>
      </c>
      <c r="CE11" s="143">
        <f t="shared" si="7"/>
        <v>0</v>
      </c>
      <c r="CF11" s="143">
        <f t="shared" si="7"/>
        <v>0</v>
      </c>
      <c r="CG11" s="143">
        <f t="shared" si="7"/>
        <v>0</v>
      </c>
      <c r="CH11" s="143">
        <f t="shared" si="7"/>
        <v>0</v>
      </c>
      <c r="CI11" s="143">
        <f t="shared" si="7"/>
        <v>0</v>
      </c>
      <c r="CJ11" s="143">
        <f t="shared" si="7"/>
        <v>0</v>
      </c>
      <c r="CK11" s="143">
        <f t="shared" ref="CK11:DS11" si="8">COUNTBLANK(CJ51:CJ68)-COUNTBLANK(CK51:CK68)</f>
        <v>0</v>
      </c>
      <c r="CL11" s="143">
        <f t="shared" si="8"/>
        <v>0</v>
      </c>
      <c r="CM11" s="143">
        <f t="shared" si="8"/>
        <v>0</v>
      </c>
      <c r="CN11" s="143">
        <f t="shared" si="8"/>
        <v>0</v>
      </c>
      <c r="CO11" s="143">
        <f t="shared" si="8"/>
        <v>0</v>
      </c>
      <c r="CP11" s="143">
        <f t="shared" si="8"/>
        <v>0</v>
      </c>
      <c r="CQ11" s="143">
        <f t="shared" si="8"/>
        <v>0</v>
      </c>
      <c r="CR11" s="143">
        <f t="shared" si="8"/>
        <v>0</v>
      </c>
      <c r="CS11" s="143">
        <f t="shared" si="8"/>
        <v>0</v>
      </c>
      <c r="CT11" s="143">
        <f t="shared" si="8"/>
        <v>0</v>
      </c>
      <c r="CU11" s="143">
        <f t="shared" si="8"/>
        <v>0</v>
      </c>
      <c r="CV11" s="143">
        <f t="shared" si="8"/>
        <v>0</v>
      </c>
      <c r="CW11" s="143">
        <f t="shared" si="8"/>
        <v>0</v>
      </c>
      <c r="CX11" s="143">
        <f t="shared" si="8"/>
        <v>0</v>
      </c>
      <c r="CY11" s="143">
        <f t="shared" si="8"/>
        <v>0</v>
      </c>
      <c r="CZ11" s="143">
        <f t="shared" si="8"/>
        <v>0</v>
      </c>
      <c r="DA11" s="143">
        <f t="shared" si="8"/>
        <v>0</v>
      </c>
      <c r="DB11" s="143">
        <f t="shared" si="8"/>
        <v>0</v>
      </c>
      <c r="DC11" s="143">
        <f t="shared" si="8"/>
        <v>0</v>
      </c>
      <c r="DD11" s="143">
        <f t="shared" si="8"/>
        <v>0</v>
      </c>
      <c r="DE11" s="143">
        <f t="shared" si="8"/>
        <v>0</v>
      </c>
      <c r="DF11" s="143">
        <f t="shared" si="8"/>
        <v>0</v>
      </c>
      <c r="DG11" s="143">
        <f t="shared" si="8"/>
        <v>0</v>
      </c>
      <c r="DH11" s="143">
        <f t="shared" si="8"/>
        <v>0</v>
      </c>
      <c r="DI11" s="143">
        <f t="shared" si="8"/>
        <v>0</v>
      </c>
      <c r="DJ11" s="143">
        <f t="shared" si="8"/>
        <v>0</v>
      </c>
      <c r="DK11" s="143">
        <f t="shared" si="8"/>
        <v>0</v>
      </c>
      <c r="DL11" s="143">
        <f t="shared" si="8"/>
        <v>0</v>
      </c>
      <c r="DM11" s="143">
        <f t="shared" si="8"/>
        <v>0</v>
      </c>
      <c r="DN11" s="143">
        <f t="shared" si="8"/>
        <v>0</v>
      </c>
      <c r="DO11" s="143">
        <f t="shared" si="8"/>
        <v>0</v>
      </c>
      <c r="DP11" s="143">
        <f t="shared" si="8"/>
        <v>0</v>
      </c>
      <c r="DQ11" s="143">
        <f t="shared" si="8"/>
        <v>0</v>
      </c>
      <c r="DR11" s="143">
        <f t="shared" si="8"/>
        <v>0</v>
      </c>
      <c r="DS11" s="143">
        <f t="shared" si="8"/>
        <v>0</v>
      </c>
      <c r="DT11" s="144">
        <f>SUM(X11:DS11)</f>
        <v>18</v>
      </c>
      <c r="DU11" s="138"/>
    </row>
    <row r="12" spans="1:126" ht="15" customHeight="1">
      <c r="A12" s="145" t="s">
        <v>285</v>
      </c>
      <c r="B12" s="355"/>
      <c r="C12" s="146">
        <f>SUM(C8:C11)</f>
        <v>100</v>
      </c>
      <c r="D12" s="356">
        <f>SUMPRODUCT(C8:C10,D8:D10)/C12</f>
        <v>990.64</v>
      </c>
      <c r="E12" s="147">
        <f>SUMPRODUCT(C8:C10,E8:E10)/C12</f>
        <v>66.608400000000003</v>
      </c>
      <c r="F12" s="356">
        <f>SUMPRODUCT(C8:C10,F8:F10)/C12</f>
        <v>70810.525520000025</v>
      </c>
      <c r="G12" s="357">
        <f>SUM(G8:G10)</f>
        <v>7081052.552000002</v>
      </c>
      <c r="H12" s="358">
        <f>SUM(H8:H10)</f>
        <v>6660.84</v>
      </c>
      <c r="I12" s="358"/>
      <c r="J12" s="358"/>
      <c r="K12" s="359"/>
      <c r="L12" s="359"/>
      <c r="M12" s="358"/>
      <c r="N12" s="148"/>
      <c r="O12" s="149"/>
      <c r="P12" s="150"/>
      <c r="V12" s="526" t="s">
        <v>286</v>
      </c>
      <c r="W12" s="487"/>
      <c r="X12" s="143">
        <f>COUNT(X69:X116)</f>
        <v>0</v>
      </c>
      <c r="Y12" s="143">
        <f t="shared" ref="Y12:BD12" si="9">COUNTBLANK(X69:X116)-COUNTBLANK(Y69:Y116)</f>
        <v>1</v>
      </c>
      <c r="Z12" s="143">
        <f t="shared" si="9"/>
        <v>2</v>
      </c>
      <c r="AA12" s="143">
        <f t="shared" si="9"/>
        <v>3</v>
      </c>
      <c r="AB12" s="143">
        <f t="shared" si="9"/>
        <v>4</v>
      </c>
      <c r="AC12" s="143">
        <f t="shared" si="9"/>
        <v>4</v>
      </c>
      <c r="AD12" s="143">
        <f t="shared" si="9"/>
        <v>4</v>
      </c>
      <c r="AE12" s="143">
        <f t="shared" si="9"/>
        <v>4</v>
      </c>
      <c r="AF12" s="143">
        <f t="shared" si="9"/>
        <v>4</v>
      </c>
      <c r="AG12" s="143">
        <f t="shared" si="9"/>
        <v>4</v>
      </c>
      <c r="AH12" s="143">
        <f t="shared" si="9"/>
        <v>5</v>
      </c>
      <c r="AI12" s="143">
        <f t="shared" si="9"/>
        <v>5</v>
      </c>
      <c r="AJ12" s="143">
        <f t="shared" si="9"/>
        <v>4</v>
      </c>
      <c r="AK12" s="143">
        <f t="shared" si="9"/>
        <v>3</v>
      </c>
      <c r="AL12" s="143">
        <f t="shared" si="9"/>
        <v>1</v>
      </c>
      <c r="AM12" s="143">
        <f t="shared" si="9"/>
        <v>0</v>
      </c>
      <c r="AN12" s="143">
        <f t="shared" si="9"/>
        <v>-1</v>
      </c>
      <c r="AO12" s="143">
        <f>COUNTBLANK(AN69:AN116)-COUNTBLANK(AO69:AO116)</f>
        <v>1</v>
      </c>
      <c r="AP12" s="143">
        <f>COUNTBLANK(AO69:AO116)-COUNTBLANK(AP69:AP116)</f>
        <v>0</v>
      </c>
      <c r="AQ12" s="143">
        <f t="shared" si="9"/>
        <v>0</v>
      </c>
      <c r="AR12" s="143">
        <f t="shared" si="9"/>
        <v>0</v>
      </c>
      <c r="AS12" s="143">
        <f t="shared" si="9"/>
        <v>0</v>
      </c>
      <c r="AT12" s="143">
        <f t="shared" si="9"/>
        <v>0</v>
      </c>
      <c r="AU12" s="143">
        <f t="shared" si="9"/>
        <v>0</v>
      </c>
      <c r="AV12" s="143">
        <f t="shared" si="9"/>
        <v>0</v>
      </c>
      <c r="AW12" s="143">
        <f t="shared" si="9"/>
        <v>0</v>
      </c>
      <c r="AX12" s="143">
        <f t="shared" si="9"/>
        <v>0</v>
      </c>
      <c r="AY12" s="143">
        <f t="shared" si="9"/>
        <v>0</v>
      </c>
      <c r="AZ12" s="143">
        <f t="shared" si="9"/>
        <v>0</v>
      </c>
      <c r="BA12" s="143">
        <f t="shared" si="9"/>
        <v>0</v>
      </c>
      <c r="BB12" s="143">
        <f t="shared" si="9"/>
        <v>0</v>
      </c>
      <c r="BC12" s="143">
        <f t="shared" si="9"/>
        <v>0</v>
      </c>
      <c r="BD12" s="143">
        <f t="shared" si="9"/>
        <v>0</v>
      </c>
      <c r="BE12" s="143">
        <f t="shared" ref="BE12:CJ12" si="10">COUNTBLANK(BD69:BD116)-COUNTBLANK(BE69:BE116)</f>
        <v>0</v>
      </c>
      <c r="BF12" s="143">
        <f t="shared" si="10"/>
        <v>0</v>
      </c>
      <c r="BG12" s="143">
        <f t="shared" si="10"/>
        <v>0</v>
      </c>
      <c r="BH12" s="143">
        <f t="shared" si="10"/>
        <v>0</v>
      </c>
      <c r="BI12" s="143">
        <f t="shared" si="10"/>
        <v>0</v>
      </c>
      <c r="BJ12" s="143">
        <f t="shared" si="10"/>
        <v>0</v>
      </c>
      <c r="BK12" s="143">
        <f t="shared" si="10"/>
        <v>0</v>
      </c>
      <c r="BL12" s="143">
        <f t="shared" si="10"/>
        <v>0</v>
      </c>
      <c r="BM12" s="143">
        <f t="shared" si="10"/>
        <v>0</v>
      </c>
      <c r="BN12" s="143">
        <f t="shared" si="10"/>
        <v>0</v>
      </c>
      <c r="BO12" s="143">
        <f t="shared" si="10"/>
        <v>0</v>
      </c>
      <c r="BP12" s="143">
        <f t="shared" si="10"/>
        <v>0</v>
      </c>
      <c r="BQ12" s="143">
        <f t="shared" si="10"/>
        <v>0</v>
      </c>
      <c r="BR12" s="143">
        <f t="shared" si="10"/>
        <v>0</v>
      </c>
      <c r="BS12" s="143">
        <f t="shared" si="10"/>
        <v>0</v>
      </c>
      <c r="BT12" s="143">
        <f t="shared" si="10"/>
        <v>0</v>
      </c>
      <c r="BU12" s="143">
        <f t="shared" si="10"/>
        <v>0</v>
      </c>
      <c r="BV12" s="143">
        <f t="shared" si="10"/>
        <v>0</v>
      </c>
      <c r="BW12" s="143">
        <f t="shared" si="10"/>
        <v>0</v>
      </c>
      <c r="BX12" s="143">
        <f t="shared" si="10"/>
        <v>0</v>
      </c>
      <c r="BY12" s="143">
        <f t="shared" si="10"/>
        <v>0</v>
      </c>
      <c r="BZ12" s="143">
        <f t="shared" si="10"/>
        <v>0</v>
      </c>
      <c r="CA12" s="143">
        <f t="shared" si="10"/>
        <v>0</v>
      </c>
      <c r="CB12" s="143">
        <f t="shared" si="10"/>
        <v>0</v>
      </c>
      <c r="CC12" s="143">
        <f t="shared" si="10"/>
        <v>0</v>
      </c>
      <c r="CD12" s="143">
        <f t="shared" si="10"/>
        <v>0</v>
      </c>
      <c r="CE12" s="143">
        <f t="shared" si="10"/>
        <v>0</v>
      </c>
      <c r="CF12" s="143">
        <f t="shared" si="10"/>
        <v>0</v>
      </c>
      <c r="CG12" s="143">
        <f t="shared" si="10"/>
        <v>0</v>
      </c>
      <c r="CH12" s="143">
        <f t="shared" si="10"/>
        <v>0</v>
      </c>
      <c r="CI12" s="143">
        <f t="shared" si="10"/>
        <v>0</v>
      </c>
      <c r="CJ12" s="143">
        <f t="shared" si="10"/>
        <v>0</v>
      </c>
      <c r="CK12" s="143">
        <f t="shared" ref="CK12:DS12" si="11">COUNTBLANK(CJ69:CJ116)-COUNTBLANK(CK69:CK116)</f>
        <v>0</v>
      </c>
      <c r="CL12" s="143">
        <f t="shared" si="11"/>
        <v>0</v>
      </c>
      <c r="CM12" s="143">
        <f t="shared" si="11"/>
        <v>0</v>
      </c>
      <c r="CN12" s="143">
        <f t="shared" si="11"/>
        <v>0</v>
      </c>
      <c r="CO12" s="143">
        <f t="shared" si="11"/>
        <v>0</v>
      </c>
      <c r="CP12" s="143">
        <f t="shared" si="11"/>
        <v>0</v>
      </c>
      <c r="CQ12" s="143">
        <f t="shared" si="11"/>
        <v>0</v>
      </c>
      <c r="CR12" s="143">
        <f t="shared" si="11"/>
        <v>0</v>
      </c>
      <c r="CS12" s="143">
        <f t="shared" si="11"/>
        <v>0</v>
      </c>
      <c r="CT12" s="143">
        <f t="shared" si="11"/>
        <v>0</v>
      </c>
      <c r="CU12" s="143">
        <f t="shared" si="11"/>
        <v>0</v>
      </c>
      <c r="CV12" s="143">
        <f t="shared" si="11"/>
        <v>0</v>
      </c>
      <c r="CW12" s="143">
        <f t="shared" si="11"/>
        <v>0</v>
      </c>
      <c r="CX12" s="143">
        <f t="shared" si="11"/>
        <v>0</v>
      </c>
      <c r="CY12" s="143">
        <f t="shared" si="11"/>
        <v>0</v>
      </c>
      <c r="CZ12" s="143">
        <f t="shared" si="11"/>
        <v>0</v>
      </c>
      <c r="DA12" s="143">
        <f t="shared" si="11"/>
        <v>0</v>
      </c>
      <c r="DB12" s="143">
        <f t="shared" si="11"/>
        <v>0</v>
      </c>
      <c r="DC12" s="143">
        <f t="shared" si="11"/>
        <v>0</v>
      </c>
      <c r="DD12" s="143">
        <f t="shared" si="11"/>
        <v>0</v>
      </c>
      <c r="DE12" s="143">
        <f t="shared" si="11"/>
        <v>0</v>
      </c>
      <c r="DF12" s="143">
        <f t="shared" si="11"/>
        <v>0</v>
      </c>
      <c r="DG12" s="143">
        <f t="shared" si="11"/>
        <v>0</v>
      </c>
      <c r="DH12" s="143">
        <f t="shared" si="11"/>
        <v>0</v>
      </c>
      <c r="DI12" s="143">
        <f t="shared" si="11"/>
        <v>0</v>
      </c>
      <c r="DJ12" s="143">
        <f t="shared" si="11"/>
        <v>0</v>
      </c>
      <c r="DK12" s="143">
        <f t="shared" si="11"/>
        <v>0</v>
      </c>
      <c r="DL12" s="143">
        <f t="shared" si="11"/>
        <v>0</v>
      </c>
      <c r="DM12" s="143">
        <f t="shared" si="11"/>
        <v>0</v>
      </c>
      <c r="DN12" s="143">
        <f t="shared" si="11"/>
        <v>0</v>
      </c>
      <c r="DO12" s="143">
        <f t="shared" si="11"/>
        <v>0</v>
      </c>
      <c r="DP12" s="143">
        <f t="shared" si="11"/>
        <v>0</v>
      </c>
      <c r="DQ12" s="143">
        <f t="shared" si="11"/>
        <v>0</v>
      </c>
      <c r="DR12" s="143">
        <f t="shared" si="11"/>
        <v>0</v>
      </c>
      <c r="DS12" s="143">
        <f t="shared" si="11"/>
        <v>0</v>
      </c>
      <c r="DT12" s="144">
        <f>SUM(X12:DS12)</f>
        <v>48</v>
      </c>
      <c r="DU12" s="138"/>
    </row>
    <row r="13" spans="1:126" ht="14.25" customHeight="1">
      <c r="A13" s="112"/>
      <c r="E13" s="112"/>
      <c r="K13" s="112"/>
      <c r="L13" s="112"/>
      <c r="R13" s="484"/>
      <c r="V13" s="528"/>
      <c r="W13" s="487"/>
      <c r="X13" s="151">
        <v>0</v>
      </c>
      <c r="Y13" s="151">
        <v>0</v>
      </c>
      <c r="Z13" s="151">
        <v>0</v>
      </c>
      <c r="AA13" s="151">
        <v>0</v>
      </c>
      <c r="AB13" s="151">
        <v>0</v>
      </c>
      <c r="AC13" s="151">
        <v>0</v>
      </c>
      <c r="AD13" s="151">
        <v>0</v>
      </c>
      <c r="AE13" s="151">
        <v>0</v>
      </c>
      <c r="AF13" s="151">
        <v>0</v>
      </c>
      <c r="AG13" s="151">
        <v>0</v>
      </c>
      <c r="AH13" s="151">
        <v>0</v>
      </c>
      <c r="AI13" s="151">
        <v>0</v>
      </c>
      <c r="AJ13" s="151">
        <v>0</v>
      </c>
      <c r="AK13" s="151">
        <v>0</v>
      </c>
      <c r="AL13" s="151">
        <v>0</v>
      </c>
      <c r="AM13" s="151">
        <v>0</v>
      </c>
      <c r="AN13" s="151">
        <v>0</v>
      </c>
      <c r="AO13" s="151">
        <v>0</v>
      </c>
      <c r="AP13" s="151">
        <v>0</v>
      </c>
      <c r="AQ13" s="151">
        <v>0</v>
      </c>
      <c r="AR13" s="151">
        <v>0</v>
      </c>
      <c r="AS13" s="151">
        <v>0</v>
      </c>
      <c r="AT13" s="151">
        <v>0</v>
      </c>
      <c r="AU13" s="151">
        <v>0</v>
      </c>
      <c r="AV13" s="151">
        <v>0</v>
      </c>
      <c r="AW13" s="151">
        <v>0</v>
      </c>
      <c r="AX13" s="151">
        <v>0</v>
      </c>
      <c r="AY13" s="151">
        <v>0</v>
      </c>
      <c r="AZ13" s="151">
        <v>0</v>
      </c>
      <c r="BA13" s="151">
        <v>0</v>
      </c>
      <c r="BB13" s="151">
        <v>0</v>
      </c>
      <c r="BC13" s="151">
        <v>0</v>
      </c>
      <c r="BD13" s="151">
        <v>0</v>
      </c>
      <c r="BE13" s="151">
        <v>0</v>
      </c>
      <c r="BF13" s="151">
        <v>0</v>
      </c>
      <c r="BG13" s="151">
        <v>0</v>
      </c>
      <c r="BH13" s="151">
        <v>0</v>
      </c>
      <c r="BI13" s="151">
        <v>0</v>
      </c>
      <c r="BJ13" s="151">
        <v>0</v>
      </c>
      <c r="BK13" s="151">
        <v>0</v>
      </c>
      <c r="BL13" s="151">
        <v>0</v>
      </c>
      <c r="BM13" s="151">
        <v>0</v>
      </c>
      <c r="BN13" s="151">
        <v>0</v>
      </c>
      <c r="BO13" s="151">
        <v>0</v>
      </c>
      <c r="BP13" s="151">
        <v>0</v>
      </c>
      <c r="BQ13" s="151">
        <v>0</v>
      </c>
      <c r="BR13" s="151">
        <v>0</v>
      </c>
      <c r="BS13" s="151">
        <v>0</v>
      </c>
      <c r="BT13" s="151">
        <v>0</v>
      </c>
      <c r="BU13" s="151">
        <v>0</v>
      </c>
      <c r="BV13" s="151">
        <v>0</v>
      </c>
      <c r="BW13" s="151">
        <v>0</v>
      </c>
      <c r="BX13" s="151">
        <v>0</v>
      </c>
      <c r="BY13" s="151">
        <v>0</v>
      </c>
      <c r="BZ13" s="151">
        <v>0</v>
      </c>
      <c r="CA13" s="151">
        <v>0</v>
      </c>
      <c r="CB13" s="151">
        <v>0</v>
      </c>
      <c r="CC13" s="151">
        <v>0</v>
      </c>
      <c r="CD13" s="151">
        <v>0</v>
      </c>
      <c r="CE13" s="151">
        <v>0</v>
      </c>
      <c r="CF13" s="151">
        <v>0</v>
      </c>
      <c r="CG13" s="151">
        <v>0</v>
      </c>
      <c r="CH13" s="151">
        <v>0</v>
      </c>
      <c r="CI13" s="151">
        <v>0</v>
      </c>
      <c r="CJ13" s="151">
        <v>0</v>
      </c>
      <c r="CK13" s="151">
        <v>0</v>
      </c>
      <c r="CL13" s="151">
        <v>0</v>
      </c>
      <c r="CM13" s="151">
        <v>0</v>
      </c>
      <c r="CN13" s="151">
        <v>0</v>
      </c>
      <c r="CO13" s="151">
        <v>0</v>
      </c>
      <c r="CP13" s="151">
        <v>0</v>
      </c>
      <c r="CQ13" s="151">
        <v>0</v>
      </c>
      <c r="CR13" s="151">
        <v>0</v>
      </c>
      <c r="CS13" s="151">
        <v>0</v>
      </c>
      <c r="CT13" s="151">
        <v>0</v>
      </c>
      <c r="CU13" s="151">
        <v>0</v>
      </c>
      <c r="CV13" s="151">
        <v>0</v>
      </c>
      <c r="CW13" s="151">
        <v>0</v>
      </c>
      <c r="CX13" s="151">
        <v>0</v>
      </c>
      <c r="CY13" s="151">
        <v>0</v>
      </c>
      <c r="CZ13" s="151">
        <v>0</v>
      </c>
      <c r="DA13" s="151">
        <v>0</v>
      </c>
      <c r="DB13" s="151">
        <v>0</v>
      </c>
      <c r="DC13" s="151">
        <v>0</v>
      </c>
      <c r="DD13" s="151">
        <v>0</v>
      </c>
      <c r="DE13" s="151">
        <v>0</v>
      </c>
      <c r="DF13" s="151">
        <v>0</v>
      </c>
      <c r="DG13" s="151">
        <v>0</v>
      </c>
      <c r="DH13" s="151">
        <v>0</v>
      </c>
      <c r="DI13" s="151">
        <v>0</v>
      </c>
      <c r="DJ13" s="151">
        <v>0</v>
      </c>
      <c r="DK13" s="151">
        <v>0</v>
      </c>
      <c r="DL13" s="151">
        <v>0</v>
      </c>
      <c r="DM13" s="151">
        <v>0</v>
      </c>
      <c r="DN13" s="151">
        <v>0</v>
      </c>
      <c r="DO13" s="151">
        <v>0</v>
      </c>
      <c r="DP13" s="151">
        <v>0</v>
      </c>
      <c r="DQ13" s="151">
        <v>0</v>
      </c>
      <c r="DR13" s="151">
        <v>0</v>
      </c>
      <c r="DS13" s="151">
        <v>0</v>
      </c>
      <c r="DT13" s="151">
        <f>SUM(X13:DS13)</f>
        <v>0</v>
      </c>
      <c r="DU13" s="152"/>
    </row>
    <row r="14" spans="1:126" ht="14.25" customHeight="1">
      <c r="R14" s="459"/>
      <c r="V14" s="527" t="s">
        <v>287</v>
      </c>
      <c r="W14" s="487"/>
      <c r="X14" s="153">
        <f t="shared" ref="X14:BC14" si="12">SUM(X9:X13)</f>
        <v>2</v>
      </c>
      <c r="Y14" s="153">
        <f t="shared" si="12"/>
        <v>5</v>
      </c>
      <c r="Z14" s="153">
        <f t="shared" si="12"/>
        <v>7</v>
      </c>
      <c r="AA14" s="153">
        <f t="shared" si="12"/>
        <v>8</v>
      </c>
      <c r="AB14" s="153">
        <f t="shared" si="12"/>
        <v>9</v>
      </c>
      <c r="AC14" s="153">
        <f t="shared" si="12"/>
        <v>10</v>
      </c>
      <c r="AD14" s="153">
        <f t="shared" si="12"/>
        <v>10</v>
      </c>
      <c r="AE14" s="153">
        <f t="shared" si="12"/>
        <v>10</v>
      </c>
      <c r="AF14" s="153">
        <f t="shared" si="12"/>
        <v>10</v>
      </c>
      <c r="AG14" s="153">
        <f t="shared" si="12"/>
        <v>9</v>
      </c>
      <c r="AH14" s="153">
        <f t="shared" si="12"/>
        <v>7</v>
      </c>
      <c r="AI14" s="153">
        <f t="shared" si="12"/>
        <v>5</v>
      </c>
      <c r="AJ14" s="153">
        <f t="shared" si="12"/>
        <v>4</v>
      </c>
      <c r="AK14" s="153">
        <f t="shared" si="12"/>
        <v>3</v>
      </c>
      <c r="AL14" s="153">
        <f t="shared" si="12"/>
        <v>1</v>
      </c>
      <c r="AM14" s="153">
        <f t="shared" si="12"/>
        <v>0</v>
      </c>
      <c r="AN14" s="153">
        <f t="shared" si="12"/>
        <v>-1</v>
      </c>
      <c r="AO14" s="153">
        <f t="shared" si="12"/>
        <v>1</v>
      </c>
      <c r="AP14" s="153">
        <f t="shared" si="12"/>
        <v>0</v>
      </c>
      <c r="AQ14" s="153">
        <f t="shared" si="12"/>
        <v>0</v>
      </c>
      <c r="AR14" s="153">
        <f t="shared" si="12"/>
        <v>0</v>
      </c>
      <c r="AS14" s="153">
        <f t="shared" si="12"/>
        <v>0</v>
      </c>
      <c r="AT14" s="153">
        <f t="shared" si="12"/>
        <v>0</v>
      </c>
      <c r="AU14" s="153">
        <f t="shared" si="12"/>
        <v>0</v>
      </c>
      <c r="AV14" s="153">
        <f t="shared" si="12"/>
        <v>0</v>
      </c>
      <c r="AW14" s="153">
        <f t="shared" si="12"/>
        <v>0</v>
      </c>
      <c r="AX14" s="153">
        <f t="shared" si="12"/>
        <v>0</v>
      </c>
      <c r="AY14" s="153">
        <f t="shared" si="12"/>
        <v>0</v>
      </c>
      <c r="AZ14" s="153">
        <f t="shared" si="12"/>
        <v>0</v>
      </c>
      <c r="BA14" s="153">
        <f t="shared" si="12"/>
        <v>0</v>
      </c>
      <c r="BB14" s="153">
        <f t="shared" si="12"/>
        <v>0</v>
      </c>
      <c r="BC14" s="153">
        <f t="shared" si="12"/>
        <v>0</v>
      </c>
      <c r="BD14" s="153">
        <f t="shared" ref="BD14:CI14" si="13">SUM(BD9:BD13)</f>
        <v>0</v>
      </c>
      <c r="BE14" s="153">
        <f t="shared" si="13"/>
        <v>0</v>
      </c>
      <c r="BF14" s="153">
        <f t="shared" si="13"/>
        <v>0</v>
      </c>
      <c r="BG14" s="153">
        <f t="shared" si="13"/>
        <v>0</v>
      </c>
      <c r="BH14" s="153">
        <f t="shared" si="13"/>
        <v>0</v>
      </c>
      <c r="BI14" s="153">
        <f t="shared" si="13"/>
        <v>0</v>
      </c>
      <c r="BJ14" s="153">
        <f t="shared" si="13"/>
        <v>0</v>
      </c>
      <c r="BK14" s="153">
        <f t="shared" si="13"/>
        <v>0</v>
      </c>
      <c r="BL14" s="153">
        <f t="shared" si="13"/>
        <v>0</v>
      </c>
      <c r="BM14" s="153">
        <f t="shared" si="13"/>
        <v>0</v>
      </c>
      <c r="BN14" s="153">
        <f t="shared" si="13"/>
        <v>0</v>
      </c>
      <c r="BO14" s="153">
        <f t="shared" si="13"/>
        <v>0</v>
      </c>
      <c r="BP14" s="153">
        <f t="shared" si="13"/>
        <v>0</v>
      </c>
      <c r="BQ14" s="153">
        <f t="shared" si="13"/>
        <v>0</v>
      </c>
      <c r="BR14" s="153">
        <f t="shared" si="13"/>
        <v>0</v>
      </c>
      <c r="BS14" s="153">
        <f t="shared" si="13"/>
        <v>0</v>
      </c>
      <c r="BT14" s="153">
        <f t="shared" si="13"/>
        <v>0</v>
      </c>
      <c r="BU14" s="153">
        <f t="shared" si="13"/>
        <v>0</v>
      </c>
      <c r="BV14" s="153">
        <f t="shared" si="13"/>
        <v>0</v>
      </c>
      <c r="BW14" s="153">
        <f t="shared" si="13"/>
        <v>0</v>
      </c>
      <c r="BX14" s="153">
        <f t="shared" si="13"/>
        <v>0</v>
      </c>
      <c r="BY14" s="153">
        <f t="shared" si="13"/>
        <v>0</v>
      </c>
      <c r="BZ14" s="153">
        <f t="shared" si="13"/>
        <v>0</v>
      </c>
      <c r="CA14" s="153">
        <f t="shared" si="13"/>
        <v>0</v>
      </c>
      <c r="CB14" s="153">
        <f t="shared" si="13"/>
        <v>0</v>
      </c>
      <c r="CC14" s="153">
        <f t="shared" si="13"/>
        <v>0</v>
      </c>
      <c r="CD14" s="153">
        <f t="shared" si="13"/>
        <v>0</v>
      </c>
      <c r="CE14" s="153">
        <f t="shared" si="13"/>
        <v>0</v>
      </c>
      <c r="CF14" s="153">
        <f t="shared" si="13"/>
        <v>0</v>
      </c>
      <c r="CG14" s="153">
        <f t="shared" si="13"/>
        <v>0</v>
      </c>
      <c r="CH14" s="153">
        <f t="shared" si="13"/>
        <v>0</v>
      </c>
      <c r="CI14" s="153">
        <f t="shared" si="13"/>
        <v>0</v>
      </c>
      <c r="CJ14" s="153">
        <f t="shared" ref="CJ14:DO14" si="14">SUM(CJ9:CJ13)</f>
        <v>0</v>
      </c>
      <c r="CK14" s="153">
        <f t="shared" si="14"/>
        <v>0</v>
      </c>
      <c r="CL14" s="153">
        <f t="shared" si="14"/>
        <v>0</v>
      </c>
      <c r="CM14" s="153">
        <f t="shared" si="14"/>
        <v>0</v>
      </c>
      <c r="CN14" s="153">
        <f t="shared" si="14"/>
        <v>0</v>
      </c>
      <c r="CO14" s="153">
        <f t="shared" si="14"/>
        <v>0</v>
      </c>
      <c r="CP14" s="153">
        <f t="shared" si="14"/>
        <v>0</v>
      </c>
      <c r="CQ14" s="153">
        <f t="shared" si="14"/>
        <v>0</v>
      </c>
      <c r="CR14" s="153">
        <f t="shared" si="14"/>
        <v>0</v>
      </c>
      <c r="CS14" s="153">
        <f t="shared" si="14"/>
        <v>0</v>
      </c>
      <c r="CT14" s="153">
        <f t="shared" si="14"/>
        <v>0</v>
      </c>
      <c r="CU14" s="153">
        <f t="shared" si="14"/>
        <v>0</v>
      </c>
      <c r="CV14" s="153">
        <f t="shared" si="14"/>
        <v>0</v>
      </c>
      <c r="CW14" s="153">
        <f t="shared" si="14"/>
        <v>0</v>
      </c>
      <c r="CX14" s="153">
        <f t="shared" si="14"/>
        <v>0</v>
      </c>
      <c r="CY14" s="153">
        <f t="shared" si="14"/>
        <v>0</v>
      </c>
      <c r="CZ14" s="153">
        <f t="shared" si="14"/>
        <v>0</v>
      </c>
      <c r="DA14" s="153">
        <f t="shared" si="14"/>
        <v>0</v>
      </c>
      <c r="DB14" s="153">
        <f t="shared" si="14"/>
        <v>0</v>
      </c>
      <c r="DC14" s="153">
        <f t="shared" si="14"/>
        <v>0</v>
      </c>
      <c r="DD14" s="153">
        <f t="shared" si="14"/>
        <v>0</v>
      </c>
      <c r="DE14" s="153">
        <f t="shared" si="14"/>
        <v>0</v>
      </c>
      <c r="DF14" s="153">
        <f t="shared" si="14"/>
        <v>0</v>
      </c>
      <c r="DG14" s="153">
        <f t="shared" si="14"/>
        <v>0</v>
      </c>
      <c r="DH14" s="153">
        <f t="shared" si="14"/>
        <v>0</v>
      </c>
      <c r="DI14" s="153">
        <f t="shared" si="14"/>
        <v>0</v>
      </c>
      <c r="DJ14" s="153">
        <f t="shared" si="14"/>
        <v>0</v>
      </c>
      <c r="DK14" s="153">
        <f t="shared" si="14"/>
        <v>0</v>
      </c>
      <c r="DL14" s="153">
        <f t="shared" si="14"/>
        <v>0</v>
      </c>
      <c r="DM14" s="153">
        <f t="shared" si="14"/>
        <v>0</v>
      </c>
      <c r="DN14" s="153">
        <f t="shared" si="14"/>
        <v>0</v>
      </c>
      <c r="DO14" s="153">
        <f t="shared" si="14"/>
        <v>0</v>
      </c>
      <c r="DP14" s="153">
        <f t="shared" ref="DP14:DT14" si="15">SUM(DP9:DP13)</f>
        <v>0</v>
      </c>
      <c r="DQ14" s="153">
        <f t="shared" si="15"/>
        <v>0</v>
      </c>
      <c r="DR14" s="153">
        <f t="shared" si="15"/>
        <v>0</v>
      </c>
      <c r="DS14" s="153">
        <f t="shared" si="15"/>
        <v>0</v>
      </c>
      <c r="DT14" s="153">
        <f t="shared" si="15"/>
        <v>100</v>
      </c>
      <c r="DU14" s="154"/>
    </row>
    <row r="15" spans="1:126" ht="14.25" customHeight="1">
      <c r="A15" s="523" t="s">
        <v>288</v>
      </c>
      <c r="B15" s="524"/>
      <c r="C15" s="524"/>
      <c r="D15" s="524"/>
      <c r="E15" s="524"/>
      <c r="F15" s="524"/>
      <c r="G15" s="524"/>
      <c r="H15" s="525" t="s">
        <v>289</v>
      </c>
      <c r="I15" s="486"/>
      <c r="J15" s="487"/>
      <c r="K15" s="522" t="s">
        <v>290</v>
      </c>
      <c r="L15" s="486"/>
      <c r="M15" s="487"/>
      <c r="N15" s="155"/>
      <c r="O15" s="155"/>
      <c r="P15" s="155"/>
      <c r="V15" s="154"/>
      <c r="W15" s="154"/>
      <c r="X15" s="154"/>
      <c r="Y15" s="154"/>
      <c r="Z15" s="156"/>
      <c r="AA15" s="154"/>
      <c r="AB15" s="154"/>
      <c r="AC15" s="154"/>
      <c r="AD15" s="154"/>
      <c r="AE15" s="154"/>
      <c r="AF15" s="154"/>
      <c r="AG15" s="154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57"/>
      <c r="AS15" s="157"/>
      <c r="AT15" s="157"/>
      <c r="AU15" s="157"/>
      <c r="AV15" s="157"/>
      <c r="AW15" s="157"/>
      <c r="AX15" s="154"/>
      <c r="AY15" s="158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360"/>
      <c r="CH15" s="154"/>
      <c r="CI15" s="154"/>
      <c r="CJ15" s="154"/>
      <c r="CK15" s="154"/>
      <c r="CL15" s="154"/>
      <c r="CM15" s="154"/>
      <c r="CN15" s="154"/>
      <c r="CO15" s="154"/>
      <c r="CP15" s="154"/>
      <c r="CQ15" s="154"/>
      <c r="CR15" s="154"/>
      <c r="CS15" s="154"/>
      <c r="CT15" s="154"/>
      <c r="CU15" s="154"/>
      <c r="CV15" s="154"/>
      <c r="CW15" s="154"/>
      <c r="CX15" s="154"/>
      <c r="CY15" s="154"/>
      <c r="CZ15" s="154"/>
      <c r="DA15" s="154"/>
      <c r="DB15" s="154"/>
      <c r="DC15" s="154"/>
      <c r="DD15" s="154"/>
      <c r="DE15" s="154"/>
      <c r="DF15" s="154"/>
      <c r="DG15" s="154"/>
      <c r="DH15" s="154"/>
      <c r="DI15" s="154"/>
      <c r="DJ15" s="154"/>
      <c r="DK15" s="154"/>
      <c r="DL15" s="154"/>
      <c r="DM15" s="154"/>
      <c r="DN15" s="154"/>
      <c r="DO15" s="154"/>
      <c r="DP15" s="154"/>
      <c r="DQ15" s="154"/>
      <c r="DR15" s="154"/>
      <c r="DS15" s="154"/>
      <c r="DT15" s="154"/>
      <c r="DU15" s="154"/>
    </row>
    <row r="16" spans="1:126" s="126" customFormat="1" ht="24" customHeight="1">
      <c r="A16" s="159" t="s">
        <v>291</v>
      </c>
      <c r="B16" s="160" t="s">
        <v>292</v>
      </c>
      <c r="C16" s="160" t="s">
        <v>268</v>
      </c>
      <c r="D16" s="160" t="s">
        <v>293</v>
      </c>
      <c r="E16" s="160" t="s">
        <v>294</v>
      </c>
      <c r="F16" s="160" t="s">
        <v>295</v>
      </c>
      <c r="G16" s="161" t="s">
        <v>296</v>
      </c>
      <c r="H16" s="162" t="s">
        <v>297</v>
      </c>
      <c r="I16" s="162" t="s">
        <v>298</v>
      </c>
      <c r="J16" s="162" t="s">
        <v>299</v>
      </c>
      <c r="K16" s="159" t="s">
        <v>300</v>
      </c>
      <c r="L16" s="159" t="s">
        <v>301</v>
      </c>
      <c r="M16" s="163" t="s">
        <v>302</v>
      </c>
      <c r="N16" s="361" t="s">
        <v>303</v>
      </c>
      <c r="O16" s="160" t="s">
        <v>304</v>
      </c>
      <c r="P16" s="362" t="s">
        <v>305</v>
      </c>
      <c r="Q16" s="164" t="s">
        <v>17</v>
      </c>
      <c r="R16" s="164" t="s">
        <v>274</v>
      </c>
      <c r="S16" s="164" t="s">
        <v>17</v>
      </c>
      <c r="T16" s="164" t="s">
        <v>275</v>
      </c>
      <c r="U16" s="164" t="s">
        <v>306</v>
      </c>
      <c r="V16" s="165" t="s">
        <v>17</v>
      </c>
      <c r="W16" s="165" t="s">
        <v>276</v>
      </c>
      <c r="X16" s="166">
        <v>1</v>
      </c>
      <c r="Y16" s="166">
        <v>2</v>
      </c>
      <c r="Z16" s="166">
        <v>3</v>
      </c>
      <c r="AA16" s="166">
        <v>4</v>
      </c>
      <c r="AB16" s="166">
        <v>5</v>
      </c>
      <c r="AC16" s="166">
        <v>6</v>
      </c>
      <c r="AD16" s="166">
        <v>7</v>
      </c>
      <c r="AE16" s="166">
        <v>8</v>
      </c>
      <c r="AF16" s="166">
        <v>9</v>
      </c>
      <c r="AG16" s="166">
        <v>10</v>
      </c>
      <c r="AH16" s="166">
        <v>11</v>
      </c>
      <c r="AI16" s="166">
        <v>12</v>
      </c>
      <c r="AJ16" s="166">
        <v>13</v>
      </c>
      <c r="AK16" s="166">
        <v>14</v>
      </c>
      <c r="AL16" s="166">
        <v>15</v>
      </c>
      <c r="AM16" s="166">
        <v>16</v>
      </c>
      <c r="AN16" s="166">
        <v>17</v>
      </c>
      <c r="AO16" s="166">
        <v>18</v>
      </c>
      <c r="AP16" s="166">
        <v>19</v>
      </c>
      <c r="AQ16" s="166">
        <v>20</v>
      </c>
      <c r="AR16" s="166">
        <v>21</v>
      </c>
      <c r="AS16" s="166">
        <v>22</v>
      </c>
      <c r="AT16" s="166">
        <v>23</v>
      </c>
      <c r="AU16" s="166">
        <v>24</v>
      </c>
      <c r="AV16" s="166">
        <v>25</v>
      </c>
      <c r="AW16" s="166">
        <v>26</v>
      </c>
      <c r="AX16" s="166">
        <v>27</v>
      </c>
      <c r="AY16" s="166">
        <v>28</v>
      </c>
      <c r="AZ16" s="166">
        <v>29</v>
      </c>
      <c r="BA16" s="166">
        <v>30</v>
      </c>
      <c r="BB16" s="166">
        <v>31</v>
      </c>
      <c r="BC16" s="166">
        <v>32</v>
      </c>
      <c r="BD16" s="166">
        <v>33</v>
      </c>
      <c r="BE16" s="166">
        <v>34</v>
      </c>
      <c r="BF16" s="166">
        <v>35</v>
      </c>
      <c r="BG16" s="166">
        <v>36</v>
      </c>
      <c r="BH16" s="166">
        <v>37</v>
      </c>
      <c r="BI16" s="166">
        <v>38</v>
      </c>
      <c r="BJ16" s="166">
        <v>39</v>
      </c>
      <c r="BK16" s="166">
        <v>40</v>
      </c>
      <c r="BL16" s="166">
        <v>41</v>
      </c>
      <c r="BM16" s="166">
        <v>42</v>
      </c>
      <c r="BN16" s="166">
        <v>43</v>
      </c>
      <c r="BO16" s="166">
        <v>44</v>
      </c>
      <c r="BP16" s="166">
        <v>45</v>
      </c>
      <c r="BQ16" s="166">
        <v>46</v>
      </c>
      <c r="BR16" s="166">
        <v>47</v>
      </c>
      <c r="BS16" s="166">
        <v>48</v>
      </c>
      <c r="BT16" s="166">
        <v>49</v>
      </c>
      <c r="BU16" s="166">
        <v>50</v>
      </c>
      <c r="BV16" s="166">
        <v>51</v>
      </c>
      <c r="BW16" s="166">
        <v>52</v>
      </c>
      <c r="BX16" s="166">
        <v>53</v>
      </c>
      <c r="BY16" s="166">
        <v>54</v>
      </c>
      <c r="BZ16" s="166">
        <v>55</v>
      </c>
      <c r="CA16" s="166">
        <v>56</v>
      </c>
      <c r="CB16" s="166">
        <v>57</v>
      </c>
      <c r="CC16" s="166">
        <v>58</v>
      </c>
      <c r="CD16" s="166">
        <v>59</v>
      </c>
      <c r="CE16" s="166">
        <v>60</v>
      </c>
      <c r="CF16" s="166">
        <v>61</v>
      </c>
      <c r="CG16" s="166">
        <v>62</v>
      </c>
      <c r="CH16" s="166">
        <v>63</v>
      </c>
      <c r="CI16" s="166">
        <v>64</v>
      </c>
      <c r="CJ16" s="166">
        <v>65</v>
      </c>
      <c r="CK16" s="166">
        <v>66</v>
      </c>
      <c r="CL16" s="166">
        <v>67</v>
      </c>
      <c r="CM16" s="166">
        <v>68</v>
      </c>
      <c r="CN16" s="166">
        <v>69</v>
      </c>
      <c r="CO16" s="166">
        <v>70</v>
      </c>
      <c r="CP16" s="166">
        <v>71</v>
      </c>
      <c r="CQ16" s="166">
        <v>72</v>
      </c>
      <c r="CR16" s="166">
        <v>73</v>
      </c>
      <c r="CS16" s="166">
        <v>74</v>
      </c>
      <c r="CT16" s="166">
        <v>75</v>
      </c>
      <c r="CU16" s="166">
        <v>76</v>
      </c>
      <c r="CV16" s="166">
        <v>77</v>
      </c>
      <c r="CW16" s="166">
        <v>78</v>
      </c>
      <c r="CX16" s="166">
        <v>79</v>
      </c>
      <c r="CY16" s="166">
        <v>80</v>
      </c>
      <c r="CZ16" s="166">
        <v>81</v>
      </c>
      <c r="DA16" s="166">
        <v>82</v>
      </c>
      <c r="DB16" s="166">
        <v>83</v>
      </c>
      <c r="DC16" s="166">
        <v>84</v>
      </c>
      <c r="DD16" s="166">
        <v>85</v>
      </c>
      <c r="DE16" s="166">
        <v>86</v>
      </c>
      <c r="DF16" s="166">
        <v>87</v>
      </c>
      <c r="DG16" s="166">
        <v>88</v>
      </c>
      <c r="DH16" s="166">
        <v>89</v>
      </c>
      <c r="DI16" s="166">
        <v>90</v>
      </c>
      <c r="DJ16" s="166">
        <v>91</v>
      </c>
      <c r="DK16" s="166">
        <v>92</v>
      </c>
      <c r="DL16" s="166">
        <v>93</v>
      </c>
      <c r="DM16" s="166">
        <v>94</v>
      </c>
      <c r="DN16" s="166">
        <v>95</v>
      </c>
      <c r="DO16" s="166">
        <v>96</v>
      </c>
      <c r="DP16" s="166">
        <v>97</v>
      </c>
      <c r="DQ16" s="166">
        <v>98</v>
      </c>
      <c r="DR16" s="166">
        <v>99</v>
      </c>
      <c r="DS16" s="166">
        <v>100</v>
      </c>
      <c r="DT16" s="167" t="s">
        <v>55</v>
      </c>
      <c r="DU16" s="168" t="s">
        <v>244</v>
      </c>
      <c r="DV16" s="363"/>
    </row>
    <row r="17" spans="1:127" s="138" customFormat="1" ht="11.25" customHeight="1">
      <c r="A17" s="169" t="s">
        <v>307</v>
      </c>
      <c r="B17" s="170"/>
      <c r="C17" s="171" t="s">
        <v>280</v>
      </c>
      <c r="D17" s="171"/>
      <c r="E17" s="364">
        <v>74.010000000000005</v>
      </c>
      <c r="F17" s="364">
        <v>1.08</v>
      </c>
      <c r="G17" s="365">
        <f t="shared" ref="G17:G48" si="16">+E17+F17</f>
        <v>75.09</v>
      </c>
      <c r="H17" s="364">
        <v>9.06</v>
      </c>
      <c r="I17" s="366">
        <f>N17*15%</f>
        <v>149.1</v>
      </c>
      <c r="J17" s="366">
        <f t="shared" ref="J17:J48" si="17">H17*I17</f>
        <v>1350.846</v>
      </c>
      <c r="K17" s="367" t="s">
        <v>308</v>
      </c>
      <c r="L17" s="368" t="s">
        <v>309</v>
      </c>
      <c r="M17" s="366">
        <v>6000</v>
      </c>
      <c r="N17" s="364">
        <v>994</v>
      </c>
      <c r="O17" s="369">
        <f t="shared" ref="O17:O48" si="18">+ROUND((G17*N17),2)+J17+M17</f>
        <v>81990.306000000011</v>
      </c>
      <c r="P17" s="370">
        <f t="shared" ref="P17:P48" si="19">O17/(G17)</f>
        <v>1091.8938074310829</v>
      </c>
      <c r="Q17" s="172">
        <v>0.01</v>
      </c>
      <c r="R17" s="371">
        <f t="shared" ref="R17:R48" si="20">O17*Q17</f>
        <v>819.9030600000001</v>
      </c>
      <c r="S17" s="172">
        <v>0.04</v>
      </c>
      <c r="T17" s="371">
        <f t="shared" ref="T17:T48" si="21">O17*S17</f>
        <v>3279.6122400000004</v>
      </c>
      <c r="U17" s="372">
        <f t="shared" ref="U17:U48" si="22">COUNTIF(X17:DS17,"&gt;0")-2</f>
        <v>5</v>
      </c>
      <c r="V17" s="172">
        <v>0.95</v>
      </c>
      <c r="W17" s="371">
        <f t="shared" ref="W17:W48" si="23">+O17*V17</f>
        <v>77890.790700000012</v>
      </c>
      <c r="X17" s="373">
        <f>+$R17</f>
        <v>819.9030600000001</v>
      </c>
      <c r="Y17" s="373">
        <f>+$T17/5</f>
        <v>655.92244800000003</v>
      </c>
      <c r="Z17" s="373">
        <f>+$T17/5</f>
        <v>655.92244800000003</v>
      </c>
      <c r="AA17" s="373">
        <f>+$T17/5</f>
        <v>655.92244800000003</v>
      </c>
      <c r="AB17" s="373">
        <f>+$T17/5</f>
        <v>655.92244800000003</v>
      </c>
      <c r="AC17" s="373">
        <f>+$T17/5</f>
        <v>655.92244800000003</v>
      </c>
      <c r="AD17" s="373">
        <f>+$W17</f>
        <v>77890.790700000012</v>
      </c>
      <c r="AE17" s="373">
        <v>0</v>
      </c>
      <c r="AF17" s="373">
        <v>0</v>
      </c>
      <c r="AG17" s="373">
        <v>0</v>
      </c>
      <c r="AH17" s="373">
        <v>0</v>
      </c>
      <c r="AI17" s="373">
        <v>0</v>
      </c>
      <c r="AJ17" s="373">
        <v>0</v>
      </c>
      <c r="AK17" s="373">
        <v>0</v>
      </c>
      <c r="AL17" s="373">
        <v>0</v>
      </c>
      <c r="AM17" s="373">
        <v>0</v>
      </c>
      <c r="AN17" s="373">
        <v>0</v>
      </c>
      <c r="AO17" s="373">
        <v>0</v>
      </c>
      <c r="AP17" s="373">
        <v>0</v>
      </c>
      <c r="AQ17" s="373">
        <v>0</v>
      </c>
      <c r="AR17" s="373">
        <v>0</v>
      </c>
      <c r="AS17" s="373">
        <v>0</v>
      </c>
      <c r="AT17" s="373">
        <v>0</v>
      </c>
      <c r="AU17" s="373">
        <v>0</v>
      </c>
      <c r="AV17" s="373">
        <v>0</v>
      </c>
      <c r="AW17" s="373">
        <v>0</v>
      </c>
      <c r="AX17" s="373">
        <v>0</v>
      </c>
      <c r="AY17" s="373">
        <v>0</v>
      </c>
      <c r="AZ17" s="373">
        <v>0</v>
      </c>
      <c r="BA17" s="373">
        <v>0</v>
      </c>
      <c r="BB17" s="373">
        <v>0</v>
      </c>
      <c r="BC17" s="373">
        <v>0</v>
      </c>
      <c r="BD17" s="373">
        <v>0</v>
      </c>
      <c r="BE17" s="373">
        <v>0</v>
      </c>
      <c r="BF17" s="373">
        <v>0</v>
      </c>
      <c r="BG17" s="373">
        <v>0</v>
      </c>
      <c r="BH17" s="373">
        <v>0</v>
      </c>
      <c r="BI17" s="373">
        <v>0</v>
      </c>
      <c r="BJ17" s="373">
        <v>0</v>
      </c>
      <c r="BK17" s="373">
        <v>0</v>
      </c>
      <c r="BL17" s="373">
        <v>0</v>
      </c>
      <c r="BM17" s="373">
        <v>0</v>
      </c>
      <c r="BN17" s="373">
        <v>0</v>
      </c>
      <c r="BO17" s="373">
        <v>0</v>
      </c>
      <c r="BP17" s="373">
        <v>0</v>
      </c>
      <c r="BQ17" s="373">
        <v>0</v>
      </c>
      <c r="BR17" s="373">
        <v>0</v>
      </c>
      <c r="BS17" s="373">
        <v>0</v>
      </c>
      <c r="BT17" s="373">
        <v>0</v>
      </c>
      <c r="BU17" s="373">
        <v>0</v>
      </c>
      <c r="BV17" s="373">
        <v>0</v>
      </c>
      <c r="BW17" s="373">
        <v>0</v>
      </c>
      <c r="BX17" s="373">
        <v>0</v>
      </c>
      <c r="BY17" s="373">
        <v>0</v>
      </c>
      <c r="BZ17" s="373">
        <v>0</v>
      </c>
      <c r="CA17" s="373">
        <v>0</v>
      </c>
      <c r="CB17" s="373">
        <v>0</v>
      </c>
      <c r="CC17" s="373">
        <v>0</v>
      </c>
      <c r="CD17" s="373">
        <v>0</v>
      </c>
      <c r="CE17" s="373">
        <v>0</v>
      </c>
      <c r="CF17" s="373">
        <v>0</v>
      </c>
      <c r="CG17" s="373">
        <v>0</v>
      </c>
      <c r="CH17" s="373">
        <v>0</v>
      </c>
      <c r="CI17" s="373">
        <v>0</v>
      </c>
      <c r="CJ17" s="373">
        <v>0</v>
      </c>
      <c r="CK17" s="373">
        <v>0</v>
      </c>
      <c r="CL17" s="373">
        <v>0</v>
      </c>
      <c r="CM17" s="373">
        <v>0</v>
      </c>
      <c r="CN17" s="373">
        <v>0</v>
      </c>
      <c r="CO17" s="373">
        <v>0</v>
      </c>
      <c r="CP17" s="373">
        <v>0</v>
      </c>
      <c r="CQ17" s="373">
        <v>0</v>
      </c>
      <c r="CR17" s="373">
        <v>0</v>
      </c>
      <c r="CS17" s="373">
        <v>0</v>
      </c>
      <c r="CT17" s="373">
        <v>0</v>
      </c>
      <c r="CU17" s="373">
        <v>0</v>
      </c>
      <c r="CV17" s="373">
        <v>0</v>
      </c>
      <c r="CW17" s="373">
        <v>0</v>
      </c>
      <c r="CX17" s="373">
        <v>0</v>
      </c>
      <c r="CY17" s="373">
        <v>0</v>
      </c>
      <c r="CZ17" s="373">
        <v>0</v>
      </c>
      <c r="DA17" s="373">
        <v>0</v>
      </c>
      <c r="DB17" s="373">
        <v>0</v>
      </c>
      <c r="DC17" s="373">
        <v>0</v>
      </c>
      <c r="DD17" s="373">
        <v>0</v>
      </c>
      <c r="DE17" s="373">
        <v>0</v>
      </c>
      <c r="DF17" s="373">
        <v>0</v>
      </c>
      <c r="DG17" s="373">
        <v>0</v>
      </c>
      <c r="DH17" s="373">
        <v>0</v>
      </c>
      <c r="DI17" s="373">
        <v>0</v>
      </c>
      <c r="DJ17" s="373">
        <v>0</v>
      </c>
      <c r="DK17" s="373">
        <v>0</v>
      </c>
      <c r="DL17" s="373">
        <v>0</v>
      </c>
      <c r="DM17" s="373">
        <v>0</v>
      </c>
      <c r="DN17" s="373">
        <v>0</v>
      </c>
      <c r="DO17" s="373">
        <v>0</v>
      </c>
      <c r="DP17" s="373">
        <v>0</v>
      </c>
      <c r="DQ17" s="373">
        <v>0</v>
      </c>
      <c r="DR17" s="373">
        <v>0</v>
      </c>
      <c r="DS17" s="365">
        <v>0</v>
      </c>
      <c r="DT17" s="374">
        <f t="shared" ref="DT17:DT48" si="24">SUM(X17:DR17)</f>
        <v>81990.306000000011</v>
      </c>
      <c r="DU17" s="375">
        <f t="shared" ref="DU17:DU48" si="25">+O17-DT17</f>
        <v>0</v>
      </c>
      <c r="DV17" s="376"/>
      <c r="DW17" s="138" t="b">
        <f t="shared" ref="DW17:DW48" si="26">O17=DT17</f>
        <v>1</v>
      </c>
    </row>
    <row r="18" spans="1:127" s="138" customFormat="1" ht="12" customHeight="1">
      <c r="A18" s="169" t="s">
        <v>310</v>
      </c>
      <c r="B18" s="170"/>
      <c r="C18" s="171" t="s">
        <v>280</v>
      </c>
      <c r="D18" s="171"/>
      <c r="E18" s="365">
        <f t="shared" ref="E18:E34" si="27">$E$17</f>
        <v>74.010000000000005</v>
      </c>
      <c r="F18" s="365">
        <f t="shared" ref="F18:F33" si="28">$F$17</f>
        <v>1.08</v>
      </c>
      <c r="G18" s="365">
        <f t="shared" si="16"/>
        <v>75.09</v>
      </c>
      <c r="H18" s="365">
        <f t="shared" ref="H18:H34" si="29">$H$17</f>
        <v>9.06</v>
      </c>
      <c r="I18" s="365">
        <f t="shared" ref="I18:I49" si="30">$I$17</f>
        <v>149.1</v>
      </c>
      <c r="J18" s="366">
        <f t="shared" si="17"/>
        <v>1350.846</v>
      </c>
      <c r="K18" s="377" t="s">
        <v>311</v>
      </c>
      <c r="L18" s="378" t="s">
        <v>309</v>
      </c>
      <c r="M18" s="366">
        <v>6000</v>
      </c>
      <c r="N18" s="379">
        <f t="shared" ref="N18:N34" si="31">+$N$17</f>
        <v>994</v>
      </c>
      <c r="O18" s="369">
        <f t="shared" si="18"/>
        <v>81990.306000000011</v>
      </c>
      <c r="P18" s="370">
        <f t="shared" si="19"/>
        <v>1091.8938074310829</v>
      </c>
      <c r="Q18" s="172">
        <v>0.01</v>
      </c>
      <c r="R18" s="371">
        <f t="shared" si="20"/>
        <v>819.9030600000001</v>
      </c>
      <c r="S18" s="172">
        <v>0.04</v>
      </c>
      <c r="T18" s="371">
        <f t="shared" si="21"/>
        <v>3279.6122400000004</v>
      </c>
      <c r="U18" s="372">
        <f t="shared" si="22"/>
        <v>5</v>
      </c>
      <c r="V18" s="172">
        <v>0.95</v>
      </c>
      <c r="W18" s="371">
        <f t="shared" si="23"/>
        <v>77890.790700000012</v>
      </c>
      <c r="X18" s="373"/>
      <c r="Y18" s="373">
        <f>+$R18</f>
        <v>819.9030600000001</v>
      </c>
      <c r="Z18" s="373">
        <f>+$T18/5</f>
        <v>655.92244800000003</v>
      </c>
      <c r="AA18" s="373">
        <f>+Z18</f>
        <v>655.92244800000003</v>
      </c>
      <c r="AB18" s="373">
        <f>+AA18</f>
        <v>655.92244800000003</v>
      </c>
      <c r="AC18" s="373">
        <f>+AB18</f>
        <v>655.92244800000003</v>
      </c>
      <c r="AD18" s="373">
        <f>+AC18</f>
        <v>655.92244800000003</v>
      </c>
      <c r="AE18" s="373">
        <f>+$W18</f>
        <v>77890.790700000012</v>
      </c>
      <c r="AF18" s="373">
        <v>0</v>
      </c>
      <c r="AG18" s="373">
        <v>0</v>
      </c>
      <c r="AH18" s="373">
        <v>0</v>
      </c>
      <c r="AI18" s="373">
        <v>0</v>
      </c>
      <c r="AJ18" s="373">
        <v>0</v>
      </c>
      <c r="AK18" s="373">
        <v>0</v>
      </c>
      <c r="AL18" s="373">
        <v>0</v>
      </c>
      <c r="AM18" s="373">
        <v>0</v>
      </c>
      <c r="AN18" s="373">
        <v>0</v>
      </c>
      <c r="AO18" s="373">
        <v>0</v>
      </c>
      <c r="AP18" s="373">
        <v>0</v>
      </c>
      <c r="AQ18" s="373">
        <v>0</v>
      </c>
      <c r="AR18" s="373">
        <v>0</v>
      </c>
      <c r="AS18" s="373">
        <v>0</v>
      </c>
      <c r="AT18" s="373">
        <v>0</v>
      </c>
      <c r="AU18" s="373">
        <v>0</v>
      </c>
      <c r="AV18" s="373">
        <v>0</v>
      </c>
      <c r="AW18" s="373">
        <v>0</v>
      </c>
      <c r="AX18" s="373">
        <v>0</v>
      </c>
      <c r="AY18" s="373">
        <v>0</v>
      </c>
      <c r="AZ18" s="373">
        <v>0</v>
      </c>
      <c r="BA18" s="373">
        <v>0</v>
      </c>
      <c r="BB18" s="373">
        <v>0</v>
      </c>
      <c r="BC18" s="373">
        <v>0</v>
      </c>
      <c r="BD18" s="373">
        <v>0</v>
      </c>
      <c r="BE18" s="373">
        <v>0</v>
      </c>
      <c r="BF18" s="373">
        <v>0</v>
      </c>
      <c r="BG18" s="373">
        <v>0</v>
      </c>
      <c r="BH18" s="373">
        <v>0</v>
      </c>
      <c r="BI18" s="373">
        <v>0</v>
      </c>
      <c r="BJ18" s="373">
        <v>0</v>
      </c>
      <c r="BK18" s="373">
        <v>0</v>
      </c>
      <c r="BL18" s="373">
        <v>0</v>
      </c>
      <c r="BM18" s="373">
        <v>0</v>
      </c>
      <c r="BN18" s="373">
        <v>0</v>
      </c>
      <c r="BO18" s="373">
        <v>0</v>
      </c>
      <c r="BP18" s="373">
        <v>0</v>
      </c>
      <c r="BQ18" s="373">
        <v>0</v>
      </c>
      <c r="BR18" s="373">
        <v>0</v>
      </c>
      <c r="BS18" s="373">
        <v>0</v>
      </c>
      <c r="BT18" s="373">
        <v>0</v>
      </c>
      <c r="BU18" s="373">
        <v>0</v>
      </c>
      <c r="BV18" s="373">
        <v>0</v>
      </c>
      <c r="BW18" s="373">
        <v>0</v>
      </c>
      <c r="BX18" s="373">
        <v>0</v>
      </c>
      <c r="BY18" s="373">
        <v>0</v>
      </c>
      <c r="BZ18" s="373">
        <v>0</v>
      </c>
      <c r="CA18" s="373">
        <v>0</v>
      </c>
      <c r="CB18" s="373">
        <v>0</v>
      </c>
      <c r="CC18" s="373">
        <v>0</v>
      </c>
      <c r="CD18" s="373">
        <v>0</v>
      </c>
      <c r="CE18" s="373">
        <v>0</v>
      </c>
      <c r="CF18" s="373">
        <v>0</v>
      </c>
      <c r="CG18" s="373">
        <v>0</v>
      </c>
      <c r="CH18" s="373">
        <v>0</v>
      </c>
      <c r="CI18" s="373">
        <v>0</v>
      </c>
      <c r="CJ18" s="373">
        <v>0</v>
      </c>
      <c r="CK18" s="373">
        <v>0</v>
      </c>
      <c r="CL18" s="373">
        <v>0</v>
      </c>
      <c r="CM18" s="373">
        <v>0</v>
      </c>
      <c r="CN18" s="373">
        <v>0</v>
      </c>
      <c r="CO18" s="373">
        <v>0</v>
      </c>
      <c r="CP18" s="373">
        <v>0</v>
      </c>
      <c r="CQ18" s="373">
        <v>0</v>
      </c>
      <c r="CR18" s="373">
        <v>0</v>
      </c>
      <c r="CS18" s="373">
        <v>0</v>
      </c>
      <c r="CT18" s="373">
        <v>0</v>
      </c>
      <c r="CU18" s="373">
        <v>0</v>
      </c>
      <c r="CV18" s="373">
        <v>0</v>
      </c>
      <c r="CW18" s="373">
        <v>0</v>
      </c>
      <c r="CX18" s="373">
        <v>0</v>
      </c>
      <c r="CY18" s="373">
        <v>0</v>
      </c>
      <c r="CZ18" s="373">
        <v>0</v>
      </c>
      <c r="DA18" s="373">
        <v>0</v>
      </c>
      <c r="DB18" s="373">
        <v>0</v>
      </c>
      <c r="DC18" s="373">
        <v>0</v>
      </c>
      <c r="DD18" s="373">
        <v>0</v>
      </c>
      <c r="DE18" s="373">
        <v>0</v>
      </c>
      <c r="DF18" s="373">
        <v>0</v>
      </c>
      <c r="DG18" s="373">
        <v>0</v>
      </c>
      <c r="DH18" s="373">
        <v>0</v>
      </c>
      <c r="DI18" s="373">
        <v>0</v>
      </c>
      <c r="DJ18" s="373">
        <v>0</v>
      </c>
      <c r="DK18" s="373">
        <v>0</v>
      </c>
      <c r="DL18" s="373">
        <v>0</v>
      </c>
      <c r="DM18" s="373">
        <v>0</v>
      </c>
      <c r="DN18" s="373">
        <v>0</v>
      </c>
      <c r="DO18" s="373">
        <v>0</v>
      </c>
      <c r="DP18" s="373">
        <v>0</v>
      </c>
      <c r="DQ18" s="373">
        <v>0</v>
      </c>
      <c r="DR18" s="373">
        <v>0</v>
      </c>
      <c r="DS18" s="365">
        <v>0</v>
      </c>
      <c r="DT18" s="374">
        <f t="shared" si="24"/>
        <v>81990.306000000011</v>
      </c>
      <c r="DU18" s="375">
        <f t="shared" si="25"/>
        <v>0</v>
      </c>
      <c r="DV18" s="376"/>
      <c r="DW18" s="138" t="b">
        <f t="shared" si="26"/>
        <v>1</v>
      </c>
    </row>
    <row r="19" spans="1:127" s="138" customFormat="1" ht="12" customHeight="1">
      <c r="A19" s="169" t="s">
        <v>312</v>
      </c>
      <c r="B19" s="170"/>
      <c r="C19" s="171" t="s">
        <v>280</v>
      </c>
      <c r="D19" s="171"/>
      <c r="E19" s="365">
        <f t="shared" si="27"/>
        <v>74.010000000000005</v>
      </c>
      <c r="F19" s="365">
        <f t="shared" si="28"/>
        <v>1.08</v>
      </c>
      <c r="G19" s="365">
        <f t="shared" si="16"/>
        <v>75.09</v>
      </c>
      <c r="H19" s="365">
        <f t="shared" si="29"/>
        <v>9.06</v>
      </c>
      <c r="I19" s="365">
        <f t="shared" si="30"/>
        <v>149.1</v>
      </c>
      <c r="J19" s="366">
        <f t="shared" si="17"/>
        <v>1350.846</v>
      </c>
      <c r="K19" s="367" t="s">
        <v>313</v>
      </c>
      <c r="L19" s="368" t="s">
        <v>309</v>
      </c>
      <c r="M19" s="366">
        <v>6000</v>
      </c>
      <c r="N19" s="379">
        <f t="shared" si="31"/>
        <v>994</v>
      </c>
      <c r="O19" s="369">
        <f t="shared" si="18"/>
        <v>81990.306000000011</v>
      </c>
      <c r="P19" s="370">
        <f t="shared" si="19"/>
        <v>1091.8938074310829</v>
      </c>
      <c r="Q19" s="172">
        <v>0.01</v>
      </c>
      <c r="R19" s="371">
        <f t="shared" si="20"/>
        <v>819.9030600000001</v>
      </c>
      <c r="S19" s="172">
        <v>0.04</v>
      </c>
      <c r="T19" s="371">
        <f t="shared" si="21"/>
        <v>3279.6122400000004</v>
      </c>
      <c r="U19" s="372">
        <f t="shared" si="22"/>
        <v>3</v>
      </c>
      <c r="V19" s="172">
        <v>0.95</v>
      </c>
      <c r="W19" s="371">
        <f t="shared" si="23"/>
        <v>77890.790700000012</v>
      </c>
      <c r="X19" s="373"/>
      <c r="Y19" s="373">
        <f>+$R19</f>
        <v>819.9030600000001</v>
      </c>
      <c r="Z19" s="373">
        <f>+$T19/3</f>
        <v>1093.2040800000002</v>
      </c>
      <c r="AA19" s="373">
        <f>+Z19</f>
        <v>1093.2040800000002</v>
      </c>
      <c r="AB19" s="373">
        <f>+AA19</f>
        <v>1093.2040800000002</v>
      </c>
      <c r="AC19" s="373">
        <f>+$W19</f>
        <v>77890.790700000012</v>
      </c>
      <c r="AD19" s="373">
        <v>0</v>
      </c>
      <c r="AE19" s="373">
        <v>0</v>
      </c>
      <c r="AF19" s="373">
        <v>0</v>
      </c>
      <c r="AG19" s="373">
        <v>0</v>
      </c>
      <c r="AH19" s="373">
        <v>0</v>
      </c>
      <c r="AI19" s="373">
        <v>0</v>
      </c>
      <c r="AJ19" s="373">
        <v>0</v>
      </c>
      <c r="AK19" s="373">
        <v>0</v>
      </c>
      <c r="AL19" s="373">
        <v>0</v>
      </c>
      <c r="AM19" s="373">
        <v>0</v>
      </c>
      <c r="AN19" s="373">
        <v>0</v>
      </c>
      <c r="AO19" s="373">
        <v>0</v>
      </c>
      <c r="AP19" s="373">
        <v>0</v>
      </c>
      <c r="AQ19" s="373">
        <v>0</v>
      </c>
      <c r="AR19" s="373">
        <v>0</v>
      </c>
      <c r="AS19" s="373">
        <v>0</v>
      </c>
      <c r="AT19" s="373">
        <v>0</v>
      </c>
      <c r="AU19" s="373">
        <v>0</v>
      </c>
      <c r="AV19" s="373">
        <v>0</v>
      </c>
      <c r="AW19" s="373">
        <v>0</v>
      </c>
      <c r="AX19" s="373">
        <v>0</v>
      </c>
      <c r="AY19" s="373">
        <v>0</v>
      </c>
      <c r="AZ19" s="373">
        <v>0</v>
      </c>
      <c r="BA19" s="373">
        <v>0</v>
      </c>
      <c r="BB19" s="373">
        <v>0</v>
      </c>
      <c r="BC19" s="373">
        <v>0</v>
      </c>
      <c r="BD19" s="373">
        <v>0</v>
      </c>
      <c r="BE19" s="373">
        <v>0</v>
      </c>
      <c r="BF19" s="373">
        <v>0</v>
      </c>
      <c r="BG19" s="373">
        <v>0</v>
      </c>
      <c r="BH19" s="373">
        <v>0</v>
      </c>
      <c r="BI19" s="373">
        <v>0</v>
      </c>
      <c r="BJ19" s="373">
        <v>0</v>
      </c>
      <c r="BK19" s="373">
        <v>0</v>
      </c>
      <c r="BL19" s="373">
        <v>0</v>
      </c>
      <c r="BM19" s="373">
        <v>0</v>
      </c>
      <c r="BN19" s="373">
        <v>0</v>
      </c>
      <c r="BO19" s="373">
        <v>0</v>
      </c>
      <c r="BP19" s="373">
        <v>0</v>
      </c>
      <c r="BQ19" s="373">
        <v>0</v>
      </c>
      <c r="BR19" s="373">
        <v>0</v>
      </c>
      <c r="BS19" s="373">
        <v>0</v>
      </c>
      <c r="BT19" s="373">
        <v>0</v>
      </c>
      <c r="BU19" s="373">
        <v>0</v>
      </c>
      <c r="BV19" s="373">
        <v>0</v>
      </c>
      <c r="BW19" s="373">
        <v>0</v>
      </c>
      <c r="BX19" s="373">
        <v>0</v>
      </c>
      <c r="BY19" s="373">
        <v>0</v>
      </c>
      <c r="BZ19" s="373">
        <v>0</v>
      </c>
      <c r="CA19" s="373">
        <v>0</v>
      </c>
      <c r="CB19" s="373">
        <v>0</v>
      </c>
      <c r="CC19" s="373">
        <v>0</v>
      </c>
      <c r="CD19" s="373">
        <v>0</v>
      </c>
      <c r="CE19" s="373">
        <v>0</v>
      </c>
      <c r="CF19" s="373">
        <v>0</v>
      </c>
      <c r="CG19" s="373">
        <v>0</v>
      </c>
      <c r="CH19" s="373">
        <v>0</v>
      </c>
      <c r="CI19" s="373">
        <v>0</v>
      </c>
      <c r="CJ19" s="373">
        <v>0</v>
      </c>
      <c r="CK19" s="373">
        <v>0</v>
      </c>
      <c r="CL19" s="373">
        <v>0</v>
      </c>
      <c r="CM19" s="373">
        <v>0</v>
      </c>
      <c r="CN19" s="373">
        <v>0</v>
      </c>
      <c r="CO19" s="373">
        <v>0</v>
      </c>
      <c r="CP19" s="373">
        <v>0</v>
      </c>
      <c r="CQ19" s="373">
        <v>0</v>
      </c>
      <c r="CR19" s="373">
        <v>0</v>
      </c>
      <c r="CS19" s="373">
        <v>0</v>
      </c>
      <c r="CT19" s="373">
        <v>0</v>
      </c>
      <c r="CU19" s="373">
        <v>0</v>
      </c>
      <c r="CV19" s="373">
        <v>0</v>
      </c>
      <c r="CW19" s="373">
        <v>0</v>
      </c>
      <c r="CX19" s="373">
        <v>0</v>
      </c>
      <c r="CY19" s="373">
        <v>0</v>
      </c>
      <c r="CZ19" s="373">
        <v>0</v>
      </c>
      <c r="DA19" s="373">
        <v>0</v>
      </c>
      <c r="DB19" s="373">
        <v>0</v>
      </c>
      <c r="DC19" s="373">
        <v>0</v>
      </c>
      <c r="DD19" s="373">
        <v>0</v>
      </c>
      <c r="DE19" s="373">
        <v>0</v>
      </c>
      <c r="DF19" s="373">
        <v>0</v>
      </c>
      <c r="DG19" s="373">
        <v>0</v>
      </c>
      <c r="DH19" s="373">
        <v>0</v>
      </c>
      <c r="DI19" s="373">
        <v>0</v>
      </c>
      <c r="DJ19" s="373">
        <v>0</v>
      </c>
      <c r="DK19" s="373">
        <v>0</v>
      </c>
      <c r="DL19" s="373">
        <v>0</v>
      </c>
      <c r="DM19" s="373">
        <v>0</v>
      </c>
      <c r="DN19" s="373">
        <v>0</v>
      </c>
      <c r="DO19" s="373">
        <v>0</v>
      </c>
      <c r="DP19" s="373">
        <v>0</v>
      </c>
      <c r="DQ19" s="373">
        <v>0</v>
      </c>
      <c r="DR19" s="373">
        <v>0</v>
      </c>
      <c r="DS19" s="365">
        <v>0</v>
      </c>
      <c r="DT19" s="374">
        <f t="shared" si="24"/>
        <v>81990.306000000011</v>
      </c>
      <c r="DU19" s="375">
        <f t="shared" si="25"/>
        <v>0</v>
      </c>
      <c r="DV19" s="376"/>
      <c r="DW19" s="138" t="b">
        <f t="shared" si="26"/>
        <v>1</v>
      </c>
    </row>
    <row r="20" spans="1:127" s="138" customFormat="1" ht="12" customHeight="1">
      <c r="A20" s="169" t="s">
        <v>314</v>
      </c>
      <c r="B20" s="170"/>
      <c r="C20" s="171" t="s">
        <v>280</v>
      </c>
      <c r="D20" s="171"/>
      <c r="E20" s="365">
        <f t="shared" si="27"/>
        <v>74.010000000000005</v>
      </c>
      <c r="F20" s="365">
        <f t="shared" si="28"/>
        <v>1.08</v>
      </c>
      <c r="G20" s="365">
        <f t="shared" si="16"/>
        <v>75.09</v>
      </c>
      <c r="H20" s="365">
        <f t="shared" si="29"/>
        <v>9.06</v>
      </c>
      <c r="I20" s="365">
        <f t="shared" si="30"/>
        <v>149.1</v>
      </c>
      <c r="J20" s="366">
        <f t="shared" si="17"/>
        <v>1350.846</v>
      </c>
      <c r="K20" s="377" t="s">
        <v>315</v>
      </c>
      <c r="L20" s="378" t="s">
        <v>309</v>
      </c>
      <c r="M20" s="366">
        <v>6000</v>
      </c>
      <c r="N20" s="379">
        <f t="shared" si="31"/>
        <v>994</v>
      </c>
      <c r="O20" s="369">
        <f t="shared" si="18"/>
        <v>81990.306000000011</v>
      </c>
      <c r="P20" s="370">
        <f t="shared" si="19"/>
        <v>1091.8938074310829</v>
      </c>
      <c r="Q20" s="172">
        <v>0.01</v>
      </c>
      <c r="R20" s="371">
        <f t="shared" si="20"/>
        <v>819.9030600000001</v>
      </c>
      <c r="S20" s="172">
        <v>0.04</v>
      </c>
      <c r="T20" s="371">
        <f t="shared" si="21"/>
        <v>3279.6122400000004</v>
      </c>
      <c r="U20" s="372">
        <f t="shared" si="22"/>
        <v>5</v>
      </c>
      <c r="V20" s="172">
        <v>0.95</v>
      </c>
      <c r="W20" s="371">
        <f t="shared" si="23"/>
        <v>77890.790700000012</v>
      </c>
      <c r="X20" s="373"/>
      <c r="Y20" s="373"/>
      <c r="Z20" s="373">
        <f>+$R20</f>
        <v>819.9030600000001</v>
      </c>
      <c r="AA20" s="373">
        <f>+$T20/5</f>
        <v>655.92244800000003</v>
      </c>
      <c r="AB20" s="373">
        <f>+AA20</f>
        <v>655.92244800000003</v>
      </c>
      <c r="AC20" s="373">
        <f>+AB20</f>
        <v>655.92244800000003</v>
      </c>
      <c r="AD20" s="373">
        <f>+AC20</f>
        <v>655.92244800000003</v>
      </c>
      <c r="AE20" s="373">
        <f>+AD20</f>
        <v>655.92244800000003</v>
      </c>
      <c r="AF20" s="373">
        <f>+$W20</f>
        <v>77890.790700000012</v>
      </c>
      <c r="AG20" s="373">
        <v>0</v>
      </c>
      <c r="AH20" s="373">
        <v>0</v>
      </c>
      <c r="AI20" s="373">
        <v>0</v>
      </c>
      <c r="AJ20" s="373">
        <v>0</v>
      </c>
      <c r="AK20" s="373">
        <v>0</v>
      </c>
      <c r="AL20" s="373">
        <v>0</v>
      </c>
      <c r="AM20" s="373">
        <v>0</v>
      </c>
      <c r="AN20" s="373">
        <v>0</v>
      </c>
      <c r="AO20" s="373">
        <v>0</v>
      </c>
      <c r="AP20" s="373">
        <v>0</v>
      </c>
      <c r="AQ20" s="373">
        <v>0</v>
      </c>
      <c r="AR20" s="373">
        <v>0</v>
      </c>
      <c r="AS20" s="373">
        <v>0</v>
      </c>
      <c r="AT20" s="373">
        <v>0</v>
      </c>
      <c r="AU20" s="373">
        <v>0</v>
      </c>
      <c r="AV20" s="373">
        <v>0</v>
      </c>
      <c r="AW20" s="373">
        <v>0</v>
      </c>
      <c r="AX20" s="373">
        <v>0</v>
      </c>
      <c r="AY20" s="373">
        <v>0</v>
      </c>
      <c r="AZ20" s="373">
        <v>0</v>
      </c>
      <c r="BA20" s="373">
        <v>0</v>
      </c>
      <c r="BB20" s="373">
        <v>0</v>
      </c>
      <c r="BC20" s="373">
        <v>0</v>
      </c>
      <c r="BD20" s="373">
        <v>0</v>
      </c>
      <c r="BE20" s="373">
        <v>0</v>
      </c>
      <c r="BF20" s="373">
        <v>0</v>
      </c>
      <c r="BG20" s="373">
        <v>0</v>
      </c>
      <c r="BH20" s="373">
        <v>0</v>
      </c>
      <c r="BI20" s="373">
        <v>0</v>
      </c>
      <c r="BJ20" s="373">
        <v>0</v>
      </c>
      <c r="BK20" s="373">
        <v>0</v>
      </c>
      <c r="BL20" s="373">
        <v>0</v>
      </c>
      <c r="BM20" s="373">
        <v>0</v>
      </c>
      <c r="BN20" s="373">
        <v>0</v>
      </c>
      <c r="BO20" s="373">
        <v>0</v>
      </c>
      <c r="BP20" s="373">
        <v>0</v>
      </c>
      <c r="BQ20" s="373">
        <v>0</v>
      </c>
      <c r="BR20" s="373">
        <v>0</v>
      </c>
      <c r="BS20" s="373">
        <v>0</v>
      </c>
      <c r="BT20" s="373">
        <v>0</v>
      </c>
      <c r="BU20" s="373">
        <v>0</v>
      </c>
      <c r="BV20" s="373">
        <v>0</v>
      </c>
      <c r="BW20" s="373">
        <v>0</v>
      </c>
      <c r="BX20" s="373">
        <v>0</v>
      </c>
      <c r="BY20" s="373">
        <v>0</v>
      </c>
      <c r="BZ20" s="373">
        <v>0</v>
      </c>
      <c r="CA20" s="373">
        <v>0</v>
      </c>
      <c r="CB20" s="373">
        <v>0</v>
      </c>
      <c r="CC20" s="373">
        <v>0</v>
      </c>
      <c r="CD20" s="373">
        <v>0</v>
      </c>
      <c r="CE20" s="373">
        <v>0</v>
      </c>
      <c r="CF20" s="373">
        <v>0</v>
      </c>
      <c r="CG20" s="373">
        <v>0</v>
      </c>
      <c r="CH20" s="373">
        <v>0</v>
      </c>
      <c r="CI20" s="373">
        <v>0</v>
      </c>
      <c r="CJ20" s="373">
        <v>0</v>
      </c>
      <c r="CK20" s="373">
        <v>0</v>
      </c>
      <c r="CL20" s="373">
        <v>0</v>
      </c>
      <c r="CM20" s="373">
        <v>0</v>
      </c>
      <c r="CN20" s="373">
        <v>0</v>
      </c>
      <c r="CO20" s="373">
        <v>0</v>
      </c>
      <c r="CP20" s="373">
        <v>0</v>
      </c>
      <c r="CQ20" s="373">
        <v>0</v>
      </c>
      <c r="CR20" s="373">
        <v>0</v>
      </c>
      <c r="CS20" s="373">
        <v>0</v>
      </c>
      <c r="CT20" s="373">
        <v>0</v>
      </c>
      <c r="CU20" s="373">
        <v>0</v>
      </c>
      <c r="CV20" s="373">
        <v>0</v>
      </c>
      <c r="CW20" s="373">
        <v>0</v>
      </c>
      <c r="CX20" s="373">
        <v>0</v>
      </c>
      <c r="CY20" s="373">
        <v>0</v>
      </c>
      <c r="CZ20" s="373">
        <v>0</v>
      </c>
      <c r="DA20" s="373">
        <v>0</v>
      </c>
      <c r="DB20" s="373">
        <v>0</v>
      </c>
      <c r="DC20" s="373">
        <v>0</v>
      </c>
      <c r="DD20" s="373">
        <v>0</v>
      </c>
      <c r="DE20" s="373">
        <v>0</v>
      </c>
      <c r="DF20" s="373">
        <v>0</v>
      </c>
      <c r="DG20" s="373">
        <v>0</v>
      </c>
      <c r="DH20" s="373">
        <v>0</v>
      </c>
      <c r="DI20" s="373">
        <v>0</v>
      </c>
      <c r="DJ20" s="373">
        <v>0</v>
      </c>
      <c r="DK20" s="373">
        <v>0</v>
      </c>
      <c r="DL20" s="373">
        <v>0</v>
      </c>
      <c r="DM20" s="373">
        <v>0</v>
      </c>
      <c r="DN20" s="373">
        <v>0</v>
      </c>
      <c r="DO20" s="373">
        <v>0</v>
      </c>
      <c r="DP20" s="373">
        <v>0</v>
      </c>
      <c r="DQ20" s="373">
        <v>0</v>
      </c>
      <c r="DR20" s="373">
        <v>0</v>
      </c>
      <c r="DS20" s="365">
        <v>0</v>
      </c>
      <c r="DT20" s="374">
        <f t="shared" si="24"/>
        <v>81990.306000000011</v>
      </c>
      <c r="DU20" s="375">
        <f t="shared" si="25"/>
        <v>0</v>
      </c>
      <c r="DV20" s="376"/>
      <c r="DW20" s="138" t="b">
        <f t="shared" si="26"/>
        <v>1</v>
      </c>
    </row>
    <row r="21" spans="1:127" s="138" customFormat="1" ht="12" customHeight="1">
      <c r="A21" s="169" t="s">
        <v>316</v>
      </c>
      <c r="B21" s="170"/>
      <c r="C21" s="171" t="s">
        <v>280</v>
      </c>
      <c r="D21" s="171"/>
      <c r="E21" s="365">
        <f t="shared" si="27"/>
        <v>74.010000000000005</v>
      </c>
      <c r="F21" s="365">
        <f t="shared" si="28"/>
        <v>1.08</v>
      </c>
      <c r="G21" s="365">
        <f t="shared" si="16"/>
        <v>75.09</v>
      </c>
      <c r="H21" s="365">
        <f t="shared" si="29"/>
        <v>9.06</v>
      </c>
      <c r="I21" s="365">
        <f t="shared" si="30"/>
        <v>149.1</v>
      </c>
      <c r="J21" s="366">
        <f t="shared" si="17"/>
        <v>1350.846</v>
      </c>
      <c r="K21" s="367" t="s">
        <v>317</v>
      </c>
      <c r="L21" s="368" t="s">
        <v>309</v>
      </c>
      <c r="M21" s="366">
        <v>6000</v>
      </c>
      <c r="N21" s="379">
        <f t="shared" si="31"/>
        <v>994</v>
      </c>
      <c r="O21" s="369">
        <f t="shared" si="18"/>
        <v>81990.306000000011</v>
      </c>
      <c r="P21" s="370">
        <f t="shared" si="19"/>
        <v>1091.8938074310829</v>
      </c>
      <c r="Q21" s="172">
        <v>0.01</v>
      </c>
      <c r="R21" s="371">
        <f t="shared" si="20"/>
        <v>819.9030600000001</v>
      </c>
      <c r="S21" s="172">
        <v>0.04</v>
      </c>
      <c r="T21" s="371">
        <f t="shared" si="21"/>
        <v>3279.6122400000004</v>
      </c>
      <c r="U21" s="372">
        <f t="shared" si="22"/>
        <v>3</v>
      </c>
      <c r="V21" s="172">
        <v>0.95</v>
      </c>
      <c r="W21" s="371">
        <f t="shared" si="23"/>
        <v>77890.790700000012</v>
      </c>
      <c r="X21" s="373"/>
      <c r="Y21" s="373"/>
      <c r="Z21" s="373">
        <f>+$R21</f>
        <v>819.9030600000001</v>
      </c>
      <c r="AA21" s="373">
        <f>+$T21/3</f>
        <v>1093.2040800000002</v>
      </c>
      <c r="AB21" s="373">
        <f>+AA21</f>
        <v>1093.2040800000002</v>
      </c>
      <c r="AC21" s="373">
        <f>+AB21</f>
        <v>1093.2040800000002</v>
      </c>
      <c r="AD21" s="373">
        <f>+$W21</f>
        <v>77890.790700000012</v>
      </c>
      <c r="AE21" s="373">
        <v>0</v>
      </c>
      <c r="AF21" s="373">
        <v>0</v>
      </c>
      <c r="AG21" s="373">
        <v>0</v>
      </c>
      <c r="AH21" s="373">
        <v>0</v>
      </c>
      <c r="AI21" s="373">
        <v>0</v>
      </c>
      <c r="AJ21" s="373">
        <v>0</v>
      </c>
      <c r="AK21" s="373">
        <v>0</v>
      </c>
      <c r="AL21" s="373">
        <v>0</v>
      </c>
      <c r="AM21" s="373">
        <v>0</v>
      </c>
      <c r="AN21" s="373">
        <v>0</v>
      </c>
      <c r="AO21" s="373">
        <v>0</v>
      </c>
      <c r="AP21" s="373">
        <v>0</v>
      </c>
      <c r="AQ21" s="373">
        <v>0</v>
      </c>
      <c r="AR21" s="373">
        <v>0</v>
      </c>
      <c r="AS21" s="373">
        <v>0</v>
      </c>
      <c r="AT21" s="373">
        <v>0</v>
      </c>
      <c r="AU21" s="373">
        <v>0</v>
      </c>
      <c r="AV21" s="373">
        <v>0</v>
      </c>
      <c r="AW21" s="373">
        <v>0</v>
      </c>
      <c r="AX21" s="373">
        <v>0</v>
      </c>
      <c r="AY21" s="373">
        <v>0</v>
      </c>
      <c r="AZ21" s="373">
        <v>0</v>
      </c>
      <c r="BA21" s="373">
        <v>0</v>
      </c>
      <c r="BB21" s="373">
        <v>0</v>
      </c>
      <c r="BC21" s="373">
        <v>0</v>
      </c>
      <c r="BD21" s="373">
        <v>0</v>
      </c>
      <c r="BE21" s="373">
        <v>0</v>
      </c>
      <c r="BF21" s="373">
        <v>0</v>
      </c>
      <c r="BG21" s="373">
        <v>0</v>
      </c>
      <c r="BH21" s="373">
        <v>0</v>
      </c>
      <c r="BI21" s="373">
        <v>0</v>
      </c>
      <c r="BJ21" s="373">
        <v>0</v>
      </c>
      <c r="BK21" s="373">
        <v>0</v>
      </c>
      <c r="BL21" s="373">
        <v>0</v>
      </c>
      <c r="BM21" s="373">
        <v>0</v>
      </c>
      <c r="BN21" s="373">
        <v>0</v>
      </c>
      <c r="BO21" s="373">
        <v>0</v>
      </c>
      <c r="BP21" s="373">
        <v>0</v>
      </c>
      <c r="BQ21" s="373">
        <v>0</v>
      </c>
      <c r="BR21" s="373">
        <v>0</v>
      </c>
      <c r="BS21" s="373">
        <v>0</v>
      </c>
      <c r="BT21" s="373">
        <v>0</v>
      </c>
      <c r="BU21" s="373">
        <v>0</v>
      </c>
      <c r="BV21" s="373">
        <v>0</v>
      </c>
      <c r="BW21" s="373">
        <v>0</v>
      </c>
      <c r="BX21" s="373">
        <v>0</v>
      </c>
      <c r="BY21" s="373">
        <v>0</v>
      </c>
      <c r="BZ21" s="373">
        <v>0</v>
      </c>
      <c r="CA21" s="373">
        <v>0</v>
      </c>
      <c r="CB21" s="373">
        <v>0</v>
      </c>
      <c r="CC21" s="373">
        <v>0</v>
      </c>
      <c r="CD21" s="373">
        <v>0</v>
      </c>
      <c r="CE21" s="373">
        <v>0</v>
      </c>
      <c r="CF21" s="373">
        <v>0</v>
      </c>
      <c r="CG21" s="373">
        <v>0</v>
      </c>
      <c r="CH21" s="373">
        <v>0</v>
      </c>
      <c r="CI21" s="373">
        <v>0</v>
      </c>
      <c r="CJ21" s="373">
        <v>0</v>
      </c>
      <c r="CK21" s="373">
        <v>0</v>
      </c>
      <c r="CL21" s="373">
        <v>0</v>
      </c>
      <c r="CM21" s="373">
        <v>0</v>
      </c>
      <c r="CN21" s="373">
        <v>0</v>
      </c>
      <c r="CO21" s="373">
        <v>0</v>
      </c>
      <c r="CP21" s="373">
        <v>0</v>
      </c>
      <c r="CQ21" s="373">
        <v>0</v>
      </c>
      <c r="CR21" s="373">
        <v>0</v>
      </c>
      <c r="CS21" s="373">
        <v>0</v>
      </c>
      <c r="CT21" s="373">
        <v>0</v>
      </c>
      <c r="CU21" s="373">
        <v>0</v>
      </c>
      <c r="CV21" s="373">
        <v>0</v>
      </c>
      <c r="CW21" s="373">
        <v>0</v>
      </c>
      <c r="CX21" s="373">
        <v>0</v>
      </c>
      <c r="CY21" s="373">
        <v>0</v>
      </c>
      <c r="CZ21" s="373">
        <v>0</v>
      </c>
      <c r="DA21" s="373">
        <v>0</v>
      </c>
      <c r="DB21" s="373">
        <v>0</v>
      </c>
      <c r="DC21" s="373">
        <v>0</v>
      </c>
      <c r="DD21" s="373">
        <v>0</v>
      </c>
      <c r="DE21" s="373">
        <v>0</v>
      </c>
      <c r="DF21" s="373">
        <v>0</v>
      </c>
      <c r="DG21" s="373">
        <v>0</v>
      </c>
      <c r="DH21" s="373">
        <v>0</v>
      </c>
      <c r="DI21" s="373">
        <v>0</v>
      </c>
      <c r="DJ21" s="373">
        <v>0</v>
      </c>
      <c r="DK21" s="373">
        <v>0</v>
      </c>
      <c r="DL21" s="373">
        <v>0</v>
      </c>
      <c r="DM21" s="373">
        <v>0</v>
      </c>
      <c r="DN21" s="373">
        <v>0</v>
      </c>
      <c r="DO21" s="373">
        <v>0</v>
      </c>
      <c r="DP21" s="373">
        <v>0</v>
      </c>
      <c r="DQ21" s="373">
        <v>0</v>
      </c>
      <c r="DR21" s="373">
        <v>0</v>
      </c>
      <c r="DS21" s="365">
        <v>0</v>
      </c>
      <c r="DT21" s="374">
        <f t="shared" si="24"/>
        <v>81990.306000000011</v>
      </c>
      <c r="DU21" s="375">
        <f t="shared" si="25"/>
        <v>0</v>
      </c>
      <c r="DV21" s="376"/>
      <c r="DW21" s="138" t="b">
        <f t="shared" si="26"/>
        <v>1</v>
      </c>
    </row>
    <row r="22" spans="1:127" s="138" customFormat="1" ht="12" customHeight="1">
      <c r="A22" s="173" t="s">
        <v>318</v>
      </c>
      <c r="B22" s="170"/>
      <c r="C22" s="171" t="s">
        <v>280</v>
      </c>
      <c r="D22" s="171"/>
      <c r="E22" s="365">
        <f t="shared" si="27"/>
        <v>74.010000000000005</v>
      </c>
      <c r="F22" s="365">
        <f t="shared" si="28"/>
        <v>1.08</v>
      </c>
      <c r="G22" s="365">
        <f t="shared" si="16"/>
        <v>75.09</v>
      </c>
      <c r="H22" s="365">
        <f t="shared" si="29"/>
        <v>9.06</v>
      </c>
      <c r="I22" s="365">
        <f t="shared" si="30"/>
        <v>149.1</v>
      </c>
      <c r="J22" s="366">
        <f t="shared" si="17"/>
        <v>1350.846</v>
      </c>
      <c r="K22" s="380" t="s">
        <v>319</v>
      </c>
      <c r="L22" s="378" t="s">
        <v>320</v>
      </c>
      <c r="M22" s="365">
        <v>7000</v>
      </c>
      <c r="N22" s="379">
        <f t="shared" si="31"/>
        <v>994</v>
      </c>
      <c r="O22" s="381">
        <f t="shared" si="18"/>
        <v>82990.306000000011</v>
      </c>
      <c r="P22" s="370">
        <f t="shared" si="19"/>
        <v>1105.2111599414038</v>
      </c>
      <c r="Q22" s="172">
        <v>0.01</v>
      </c>
      <c r="R22" s="371">
        <f t="shared" si="20"/>
        <v>829.9030600000001</v>
      </c>
      <c r="S22" s="172">
        <v>0.04</v>
      </c>
      <c r="T22" s="371">
        <f t="shared" si="21"/>
        <v>3319.6122400000004</v>
      </c>
      <c r="U22" s="372">
        <f t="shared" si="22"/>
        <v>5</v>
      </c>
      <c r="V22" s="172">
        <v>0.95</v>
      </c>
      <c r="W22" s="371">
        <f t="shared" si="23"/>
        <v>78840.790700000012</v>
      </c>
      <c r="X22" s="365"/>
      <c r="Y22" s="365"/>
      <c r="Z22" s="373"/>
      <c r="AA22" s="373">
        <f>+$R22</f>
        <v>829.9030600000001</v>
      </c>
      <c r="AB22" s="373">
        <f>+$T22/5</f>
        <v>663.92244800000003</v>
      </c>
      <c r="AC22" s="373">
        <f>+AB22</f>
        <v>663.92244800000003</v>
      </c>
      <c r="AD22" s="373">
        <f>+AC22</f>
        <v>663.92244800000003</v>
      </c>
      <c r="AE22" s="373">
        <f>+AD22</f>
        <v>663.92244800000003</v>
      </c>
      <c r="AF22" s="373">
        <f>+AE22</f>
        <v>663.92244800000003</v>
      </c>
      <c r="AG22" s="373">
        <f>+$W22</f>
        <v>78840.790700000012</v>
      </c>
      <c r="AH22" s="373">
        <v>0</v>
      </c>
      <c r="AI22" s="373">
        <v>0</v>
      </c>
      <c r="AJ22" s="373">
        <v>0</v>
      </c>
      <c r="AK22" s="373">
        <v>0</v>
      </c>
      <c r="AL22" s="373">
        <v>0</v>
      </c>
      <c r="AM22" s="373">
        <v>0</v>
      </c>
      <c r="AN22" s="373">
        <v>0</v>
      </c>
      <c r="AO22" s="373">
        <v>0</v>
      </c>
      <c r="AP22" s="373">
        <v>0</v>
      </c>
      <c r="AQ22" s="373">
        <v>0</v>
      </c>
      <c r="AR22" s="373">
        <v>0</v>
      </c>
      <c r="AS22" s="373">
        <v>0</v>
      </c>
      <c r="AT22" s="373">
        <v>0</v>
      </c>
      <c r="AU22" s="373">
        <v>0</v>
      </c>
      <c r="AV22" s="373">
        <v>0</v>
      </c>
      <c r="AW22" s="373">
        <v>0</v>
      </c>
      <c r="AX22" s="373">
        <v>0</v>
      </c>
      <c r="AY22" s="373">
        <v>0</v>
      </c>
      <c r="AZ22" s="373">
        <v>0</v>
      </c>
      <c r="BA22" s="373">
        <v>0</v>
      </c>
      <c r="BB22" s="373">
        <v>0</v>
      </c>
      <c r="BC22" s="373">
        <v>0</v>
      </c>
      <c r="BD22" s="373">
        <v>0</v>
      </c>
      <c r="BE22" s="373">
        <v>0</v>
      </c>
      <c r="BF22" s="373">
        <v>0</v>
      </c>
      <c r="BG22" s="373">
        <v>0</v>
      </c>
      <c r="BH22" s="373">
        <v>0</v>
      </c>
      <c r="BI22" s="373">
        <v>0</v>
      </c>
      <c r="BJ22" s="373">
        <v>0</v>
      </c>
      <c r="BK22" s="373">
        <v>0</v>
      </c>
      <c r="BL22" s="373">
        <v>0</v>
      </c>
      <c r="BM22" s="373">
        <v>0</v>
      </c>
      <c r="BN22" s="373">
        <v>0</v>
      </c>
      <c r="BO22" s="373">
        <v>0</v>
      </c>
      <c r="BP22" s="373">
        <v>0</v>
      </c>
      <c r="BQ22" s="373">
        <v>0</v>
      </c>
      <c r="BR22" s="373">
        <v>0</v>
      </c>
      <c r="BS22" s="373">
        <v>0</v>
      </c>
      <c r="BT22" s="373">
        <v>0</v>
      </c>
      <c r="BU22" s="373">
        <v>0</v>
      </c>
      <c r="BV22" s="373">
        <v>0</v>
      </c>
      <c r="BW22" s="373">
        <v>0</v>
      </c>
      <c r="BX22" s="373">
        <v>0</v>
      </c>
      <c r="BY22" s="373">
        <v>0</v>
      </c>
      <c r="BZ22" s="373">
        <v>0</v>
      </c>
      <c r="CA22" s="373">
        <v>0</v>
      </c>
      <c r="CB22" s="373">
        <v>0</v>
      </c>
      <c r="CC22" s="373">
        <v>0</v>
      </c>
      <c r="CD22" s="373">
        <v>0</v>
      </c>
      <c r="CE22" s="373">
        <v>0</v>
      </c>
      <c r="CF22" s="373">
        <v>0</v>
      </c>
      <c r="CG22" s="373">
        <v>0</v>
      </c>
      <c r="CH22" s="373">
        <v>0</v>
      </c>
      <c r="CI22" s="373">
        <v>0</v>
      </c>
      <c r="CJ22" s="373">
        <v>0</v>
      </c>
      <c r="CK22" s="373">
        <v>0</v>
      </c>
      <c r="CL22" s="373">
        <v>0</v>
      </c>
      <c r="CM22" s="373">
        <v>0</v>
      </c>
      <c r="CN22" s="373">
        <v>0</v>
      </c>
      <c r="CO22" s="373">
        <v>0</v>
      </c>
      <c r="CP22" s="373">
        <v>0</v>
      </c>
      <c r="CQ22" s="373">
        <v>0</v>
      </c>
      <c r="CR22" s="373">
        <v>0</v>
      </c>
      <c r="CS22" s="373">
        <v>0</v>
      </c>
      <c r="CT22" s="373">
        <v>0</v>
      </c>
      <c r="CU22" s="373">
        <v>0</v>
      </c>
      <c r="CV22" s="373">
        <v>0</v>
      </c>
      <c r="CW22" s="373">
        <v>0</v>
      </c>
      <c r="CX22" s="373">
        <v>0</v>
      </c>
      <c r="CY22" s="373">
        <v>0</v>
      </c>
      <c r="CZ22" s="373">
        <v>0</v>
      </c>
      <c r="DA22" s="373">
        <v>0</v>
      </c>
      <c r="DB22" s="373">
        <v>0</v>
      </c>
      <c r="DC22" s="373">
        <v>0</v>
      </c>
      <c r="DD22" s="373">
        <v>0</v>
      </c>
      <c r="DE22" s="373">
        <v>0</v>
      </c>
      <c r="DF22" s="373">
        <v>0</v>
      </c>
      <c r="DG22" s="373">
        <v>0</v>
      </c>
      <c r="DH22" s="373">
        <v>0</v>
      </c>
      <c r="DI22" s="373">
        <v>0</v>
      </c>
      <c r="DJ22" s="373">
        <v>0</v>
      </c>
      <c r="DK22" s="373">
        <v>0</v>
      </c>
      <c r="DL22" s="373">
        <v>0</v>
      </c>
      <c r="DM22" s="373">
        <v>0</v>
      </c>
      <c r="DN22" s="373">
        <v>0</v>
      </c>
      <c r="DO22" s="373">
        <v>0</v>
      </c>
      <c r="DP22" s="373">
        <v>0</v>
      </c>
      <c r="DQ22" s="373">
        <v>0</v>
      </c>
      <c r="DR22" s="373">
        <v>0</v>
      </c>
      <c r="DS22" s="365">
        <v>0</v>
      </c>
      <c r="DT22" s="374">
        <f t="shared" si="24"/>
        <v>82990.306000000011</v>
      </c>
      <c r="DU22" s="375">
        <f t="shared" si="25"/>
        <v>0</v>
      </c>
      <c r="DV22" s="376"/>
      <c r="DW22" s="138" t="b">
        <f t="shared" si="26"/>
        <v>1</v>
      </c>
    </row>
    <row r="23" spans="1:127" s="138" customFormat="1" ht="12" customHeight="1">
      <c r="A23" s="173" t="s">
        <v>321</v>
      </c>
      <c r="B23" s="170"/>
      <c r="C23" s="171" t="s">
        <v>280</v>
      </c>
      <c r="D23" s="171"/>
      <c r="E23" s="365">
        <f t="shared" si="27"/>
        <v>74.010000000000005</v>
      </c>
      <c r="F23" s="365">
        <f t="shared" si="28"/>
        <v>1.08</v>
      </c>
      <c r="G23" s="365">
        <f t="shared" si="16"/>
        <v>75.09</v>
      </c>
      <c r="H23" s="365">
        <f t="shared" si="29"/>
        <v>9.06</v>
      </c>
      <c r="I23" s="365">
        <f t="shared" si="30"/>
        <v>149.1</v>
      </c>
      <c r="J23" s="366">
        <f t="shared" si="17"/>
        <v>1350.846</v>
      </c>
      <c r="K23" s="380" t="s">
        <v>322</v>
      </c>
      <c r="L23" s="378" t="s">
        <v>320</v>
      </c>
      <c r="M23" s="365">
        <v>7000</v>
      </c>
      <c r="N23" s="379">
        <f t="shared" si="31"/>
        <v>994</v>
      </c>
      <c r="O23" s="381">
        <f t="shared" si="18"/>
        <v>82990.306000000011</v>
      </c>
      <c r="P23" s="370">
        <f t="shared" si="19"/>
        <v>1105.2111599414038</v>
      </c>
      <c r="Q23" s="172">
        <v>0.01</v>
      </c>
      <c r="R23" s="371">
        <f t="shared" si="20"/>
        <v>829.9030600000001</v>
      </c>
      <c r="S23" s="172">
        <v>0.04</v>
      </c>
      <c r="T23" s="371">
        <f t="shared" si="21"/>
        <v>3319.6122400000004</v>
      </c>
      <c r="U23" s="372">
        <f t="shared" si="22"/>
        <v>3</v>
      </c>
      <c r="V23" s="172">
        <v>0.95</v>
      </c>
      <c r="W23" s="371">
        <f t="shared" si="23"/>
        <v>78840.790700000012</v>
      </c>
      <c r="X23" s="373"/>
      <c r="Y23" s="373"/>
      <c r="Z23" s="373"/>
      <c r="AA23" s="373">
        <f>+$R23</f>
        <v>829.9030600000001</v>
      </c>
      <c r="AB23" s="373">
        <f>+$T23/3</f>
        <v>1106.5374133333335</v>
      </c>
      <c r="AC23" s="373">
        <f>+AB23</f>
        <v>1106.5374133333335</v>
      </c>
      <c r="AD23" s="373">
        <f>+AC23</f>
        <v>1106.5374133333335</v>
      </c>
      <c r="AE23" s="373">
        <f>+$W23</f>
        <v>78840.790700000012</v>
      </c>
      <c r="AF23" s="373">
        <v>0</v>
      </c>
      <c r="AG23" s="373">
        <v>0</v>
      </c>
      <c r="AH23" s="373">
        <v>0</v>
      </c>
      <c r="AI23" s="373">
        <v>0</v>
      </c>
      <c r="AJ23" s="373">
        <v>0</v>
      </c>
      <c r="AK23" s="373">
        <v>0</v>
      </c>
      <c r="AL23" s="373">
        <v>0</v>
      </c>
      <c r="AM23" s="373">
        <v>0</v>
      </c>
      <c r="AN23" s="373">
        <v>0</v>
      </c>
      <c r="AO23" s="373">
        <v>0</v>
      </c>
      <c r="AP23" s="373">
        <v>0</v>
      </c>
      <c r="AQ23" s="373">
        <v>0</v>
      </c>
      <c r="AR23" s="373">
        <v>0</v>
      </c>
      <c r="AS23" s="373">
        <v>0</v>
      </c>
      <c r="AT23" s="373">
        <v>0</v>
      </c>
      <c r="AU23" s="373">
        <v>0</v>
      </c>
      <c r="AV23" s="373">
        <v>0</v>
      </c>
      <c r="AW23" s="373">
        <v>0</v>
      </c>
      <c r="AX23" s="373">
        <v>0</v>
      </c>
      <c r="AY23" s="373">
        <v>0</v>
      </c>
      <c r="AZ23" s="373">
        <v>0</v>
      </c>
      <c r="BA23" s="373">
        <v>0</v>
      </c>
      <c r="BB23" s="373">
        <v>0</v>
      </c>
      <c r="BC23" s="373">
        <v>0</v>
      </c>
      <c r="BD23" s="373">
        <v>0</v>
      </c>
      <c r="BE23" s="373">
        <v>0</v>
      </c>
      <c r="BF23" s="373">
        <v>0</v>
      </c>
      <c r="BG23" s="373">
        <v>0</v>
      </c>
      <c r="BH23" s="373">
        <v>0</v>
      </c>
      <c r="BI23" s="373">
        <v>0</v>
      </c>
      <c r="BJ23" s="373">
        <v>0</v>
      </c>
      <c r="BK23" s="373">
        <v>0</v>
      </c>
      <c r="BL23" s="373">
        <v>0</v>
      </c>
      <c r="BM23" s="373">
        <v>0</v>
      </c>
      <c r="BN23" s="373">
        <v>0</v>
      </c>
      <c r="BO23" s="373">
        <v>0</v>
      </c>
      <c r="BP23" s="373">
        <v>0</v>
      </c>
      <c r="BQ23" s="373">
        <v>0</v>
      </c>
      <c r="BR23" s="373">
        <v>0</v>
      </c>
      <c r="BS23" s="373">
        <v>0</v>
      </c>
      <c r="BT23" s="373">
        <v>0</v>
      </c>
      <c r="BU23" s="373">
        <v>0</v>
      </c>
      <c r="BV23" s="373">
        <v>0</v>
      </c>
      <c r="BW23" s="373">
        <v>0</v>
      </c>
      <c r="BX23" s="373">
        <v>0</v>
      </c>
      <c r="BY23" s="373">
        <v>0</v>
      </c>
      <c r="BZ23" s="373">
        <v>0</v>
      </c>
      <c r="CA23" s="373">
        <v>0</v>
      </c>
      <c r="CB23" s="373">
        <v>0</v>
      </c>
      <c r="CC23" s="373">
        <v>0</v>
      </c>
      <c r="CD23" s="373">
        <v>0</v>
      </c>
      <c r="CE23" s="373">
        <v>0</v>
      </c>
      <c r="CF23" s="373">
        <v>0</v>
      </c>
      <c r="CG23" s="373">
        <v>0</v>
      </c>
      <c r="CH23" s="373">
        <v>0</v>
      </c>
      <c r="CI23" s="373">
        <v>0</v>
      </c>
      <c r="CJ23" s="373">
        <v>0</v>
      </c>
      <c r="CK23" s="373">
        <v>0</v>
      </c>
      <c r="CL23" s="373">
        <v>0</v>
      </c>
      <c r="CM23" s="373">
        <v>0</v>
      </c>
      <c r="CN23" s="373">
        <v>0</v>
      </c>
      <c r="CO23" s="373">
        <v>0</v>
      </c>
      <c r="CP23" s="373">
        <v>0</v>
      </c>
      <c r="CQ23" s="373">
        <v>0</v>
      </c>
      <c r="CR23" s="373">
        <v>0</v>
      </c>
      <c r="CS23" s="373">
        <v>0</v>
      </c>
      <c r="CT23" s="373">
        <v>0</v>
      </c>
      <c r="CU23" s="373">
        <v>0</v>
      </c>
      <c r="CV23" s="373">
        <v>0</v>
      </c>
      <c r="CW23" s="373">
        <v>0</v>
      </c>
      <c r="CX23" s="373">
        <v>0</v>
      </c>
      <c r="CY23" s="373">
        <v>0</v>
      </c>
      <c r="CZ23" s="373">
        <v>0</v>
      </c>
      <c r="DA23" s="373">
        <v>0</v>
      </c>
      <c r="DB23" s="373">
        <v>0</v>
      </c>
      <c r="DC23" s="373">
        <v>0</v>
      </c>
      <c r="DD23" s="373">
        <v>0</v>
      </c>
      <c r="DE23" s="373">
        <v>0</v>
      </c>
      <c r="DF23" s="373">
        <v>0</v>
      </c>
      <c r="DG23" s="373">
        <v>0</v>
      </c>
      <c r="DH23" s="373">
        <v>0</v>
      </c>
      <c r="DI23" s="373">
        <v>0</v>
      </c>
      <c r="DJ23" s="373">
        <v>0</v>
      </c>
      <c r="DK23" s="373">
        <v>0</v>
      </c>
      <c r="DL23" s="373">
        <v>0</v>
      </c>
      <c r="DM23" s="373">
        <v>0</v>
      </c>
      <c r="DN23" s="373">
        <v>0</v>
      </c>
      <c r="DO23" s="373">
        <v>0</v>
      </c>
      <c r="DP23" s="373">
        <v>0</v>
      </c>
      <c r="DQ23" s="373">
        <v>0</v>
      </c>
      <c r="DR23" s="373">
        <v>0</v>
      </c>
      <c r="DS23" s="365">
        <v>0</v>
      </c>
      <c r="DT23" s="374">
        <f t="shared" si="24"/>
        <v>82990.306000000011</v>
      </c>
      <c r="DU23" s="375">
        <f t="shared" si="25"/>
        <v>0</v>
      </c>
      <c r="DV23" s="376"/>
      <c r="DW23" s="138" t="b">
        <f t="shared" si="26"/>
        <v>1</v>
      </c>
    </row>
    <row r="24" spans="1:127" s="138" customFormat="1" ht="12" customHeight="1">
      <c r="A24" s="173" t="s">
        <v>323</v>
      </c>
      <c r="B24" s="170"/>
      <c r="C24" s="171" t="s">
        <v>280</v>
      </c>
      <c r="D24" s="171"/>
      <c r="E24" s="365">
        <f t="shared" si="27"/>
        <v>74.010000000000005</v>
      </c>
      <c r="F24" s="365">
        <f t="shared" si="28"/>
        <v>1.08</v>
      </c>
      <c r="G24" s="365">
        <f t="shared" si="16"/>
        <v>75.09</v>
      </c>
      <c r="H24" s="365">
        <f t="shared" si="29"/>
        <v>9.06</v>
      </c>
      <c r="I24" s="365">
        <f t="shared" si="30"/>
        <v>149.1</v>
      </c>
      <c r="J24" s="366">
        <f t="shared" si="17"/>
        <v>1350.846</v>
      </c>
      <c r="K24" s="380" t="s">
        <v>324</v>
      </c>
      <c r="L24" s="378" t="s">
        <v>320</v>
      </c>
      <c r="M24" s="365">
        <v>7000</v>
      </c>
      <c r="N24" s="379">
        <f t="shared" si="31"/>
        <v>994</v>
      </c>
      <c r="O24" s="381">
        <f t="shared" si="18"/>
        <v>82990.306000000011</v>
      </c>
      <c r="P24" s="370">
        <f t="shared" si="19"/>
        <v>1105.2111599414038</v>
      </c>
      <c r="Q24" s="172">
        <v>0.01</v>
      </c>
      <c r="R24" s="371">
        <f t="shared" si="20"/>
        <v>829.9030600000001</v>
      </c>
      <c r="S24" s="172">
        <v>0.04</v>
      </c>
      <c r="T24" s="371">
        <f t="shared" si="21"/>
        <v>3319.6122400000004</v>
      </c>
      <c r="U24" s="372">
        <f t="shared" si="22"/>
        <v>5</v>
      </c>
      <c r="V24" s="172">
        <v>0.95</v>
      </c>
      <c r="W24" s="371">
        <f t="shared" si="23"/>
        <v>78840.790700000012</v>
      </c>
      <c r="X24" s="373"/>
      <c r="Y24" s="373"/>
      <c r="Z24" s="373"/>
      <c r="AA24" s="373"/>
      <c r="AB24" s="373">
        <f>+$R24</f>
        <v>829.9030600000001</v>
      </c>
      <c r="AC24" s="373">
        <f>+$T24/5</f>
        <v>663.92244800000003</v>
      </c>
      <c r="AD24" s="373">
        <f>+AC24</f>
        <v>663.92244800000003</v>
      </c>
      <c r="AE24" s="373">
        <f>+AD24</f>
        <v>663.92244800000003</v>
      </c>
      <c r="AF24" s="373">
        <f>+AE24</f>
        <v>663.92244800000003</v>
      </c>
      <c r="AG24" s="373">
        <f>+AF24</f>
        <v>663.92244800000003</v>
      </c>
      <c r="AH24" s="373">
        <f>+$W24</f>
        <v>78840.790700000012</v>
      </c>
      <c r="AI24" s="373">
        <v>0</v>
      </c>
      <c r="AJ24" s="373">
        <v>0</v>
      </c>
      <c r="AK24" s="373">
        <v>0</v>
      </c>
      <c r="AL24" s="373">
        <v>0</v>
      </c>
      <c r="AM24" s="373">
        <v>0</v>
      </c>
      <c r="AN24" s="373">
        <v>0</v>
      </c>
      <c r="AO24" s="373">
        <v>0</v>
      </c>
      <c r="AP24" s="373">
        <v>0</v>
      </c>
      <c r="AQ24" s="373">
        <v>0</v>
      </c>
      <c r="AR24" s="373">
        <v>0</v>
      </c>
      <c r="AS24" s="373">
        <v>0</v>
      </c>
      <c r="AT24" s="373">
        <v>0</v>
      </c>
      <c r="AU24" s="373">
        <v>0</v>
      </c>
      <c r="AV24" s="373">
        <v>0</v>
      </c>
      <c r="AW24" s="373">
        <v>0</v>
      </c>
      <c r="AX24" s="373">
        <v>0</v>
      </c>
      <c r="AY24" s="373">
        <v>0</v>
      </c>
      <c r="AZ24" s="373">
        <v>0</v>
      </c>
      <c r="BA24" s="373">
        <v>0</v>
      </c>
      <c r="BB24" s="373">
        <v>0</v>
      </c>
      <c r="BC24" s="373">
        <v>0</v>
      </c>
      <c r="BD24" s="373">
        <v>0</v>
      </c>
      <c r="BE24" s="373">
        <v>0</v>
      </c>
      <c r="BF24" s="373">
        <v>0</v>
      </c>
      <c r="BG24" s="373">
        <v>0</v>
      </c>
      <c r="BH24" s="373">
        <v>0</v>
      </c>
      <c r="BI24" s="373">
        <v>0</v>
      </c>
      <c r="BJ24" s="373">
        <v>0</v>
      </c>
      <c r="BK24" s="373">
        <v>0</v>
      </c>
      <c r="BL24" s="373">
        <v>0</v>
      </c>
      <c r="BM24" s="373">
        <v>0</v>
      </c>
      <c r="BN24" s="373">
        <v>0</v>
      </c>
      <c r="BO24" s="373">
        <v>0</v>
      </c>
      <c r="BP24" s="373">
        <v>0</v>
      </c>
      <c r="BQ24" s="373">
        <v>0</v>
      </c>
      <c r="BR24" s="373">
        <v>0</v>
      </c>
      <c r="BS24" s="373">
        <v>0</v>
      </c>
      <c r="BT24" s="373">
        <v>0</v>
      </c>
      <c r="BU24" s="373">
        <v>0</v>
      </c>
      <c r="BV24" s="373">
        <v>0</v>
      </c>
      <c r="BW24" s="373">
        <v>0</v>
      </c>
      <c r="BX24" s="373">
        <v>0</v>
      </c>
      <c r="BY24" s="373">
        <v>0</v>
      </c>
      <c r="BZ24" s="373">
        <v>0</v>
      </c>
      <c r="CA24" s="373">
        <v>0</v>
      </c>
      <c r="CB24" s="373">
        <v>0</v>
      </c>
      <c r="CC24" s="373">
        <v>0</v>
      </c>
      <c r="CD24" s="373">
        <v>0</v>
      </c>
      <c r="CE24" s="373">
        <v>0</v>
      </c>
      <c r="CF24" s="373">
        <v>0</v>
      </c>
      <c r="CG24" s="373">
        <v>0</v>
      </c>
      <c r="CH24" s="373">
        <v>0</v>
      </c>
      <c r="CI24" s="373">
        <v>0</v>
      </c>
      <c r="CJ24" s="373">
        <v>0</v>
      </c>
      <c r="CK24" s="373">
        <v>0</v>
      </c>
      <c r="CL24" s="373">
        <v>0</v>
      </c>
      <c r="CM24" s="373">
        <v>0</v>
      </c>
      <c r="CN24" s="373">
        <v>0</v>
      </c>
      <c r="CO24" s="373">
        <v>0</v>
      </c>
      <c r="CP24" s="373">
        <v>0</v>
      </c>
      <c r="CQ24" s="373">
        <v>0</v>
      </c>
      <c r="CR24" s="373">
        <v>0</v>
      </c>
      <c r="CS24" s="373">
        <v>0</v>
      </c>
      <c r="CT24" s="373">
        <v>0</v>
      </c>
      <c r="CU24" s="373">
        <v>0</v>
      </c>
      <c r="CV24" s="373">
        <v>0</v>
      </c>
      <c r="CW24" s="373">
        <v>0</v>
      </c>
      <c r="CX24" s="373">
        <v>0</v>
      </c>
      <c r="CY24" s="373">
        <v>0</v>
      </c>
      <c r="CZ24" s="373">
        <v>0</v>
      </c>
      <c r="DA24" s="373">
        <v>0</v>
      </c>
      <c r="DB24" s="373">
        <v>0</v>
      </c>
      <c r="DC24" s="373">
        <v>0</v>
      </c>
      <c r="DD24" s="373">
        <v>0</v>
      </c>
      <c r="DE24" s="373">
        <v>0</v>
      </c>
      <c r="DF24" s="373">
        <v>0</v>
      </c>
      <c r="DG24" s="373">
        <v>0</v>
      </c>
      <c r="DH24" s="373">
        <v>0</v>
      </c>
      <c r="DI24" s="373">
        <v>0</v>
      </c>
      <c r="DJ24" s="373">
        <v>0</v>
      </c>
      <c r="DK24" s="373">
        <v>0</v>
      </c>
      <c r="DL24" s="373">
        <v>0</v>
      </c>
      <c r="DM24" s="373">
        <v>0</v>
      </c>
      <c r="DN24" s="373">
        <v>0</v>
      </c>
      <c r="DO24" s="373">
        <v>0</v>
      </c>
      <c r="DP24" s="373">
        <v>0</v>
      </c>
      <c r="DQ24" s="373">
        <v>0</v>
      </c>
      <c r="DR24" s="373">
        <v>0</v>
      </c>
      <c r="DS24" s="365">
        <v>0</v>
      </c>
      <c r="DT24" s="374">
        <f t="shared" si="24"/>
        <v>82990.306000000011</v>
      </c>
      <c r="DU24" s="375">
        <f t="shared" si="25"/>
        <v>0</v>
      </c>
      <c r="DV24" s="376"/>
      <c r="DW24" s="138" t="b">
        <f t="shared" si="26"/>
        <v>1</v>
      </c>
    </row>
    <row r="25" spans="1:127" s="138" customFormat="1" ht="12" customHeight="1">
      <c r="A25" s="173" t="s">
        <v>325</v>
      </c>
      <c r="B25" s="170"/>
      <c r="C25" s="171" t="s">
        <v>280</v>
      </c>
      <c r="D25" s="171"/>
      <c r="E25" s="365">
        <f t="shared" si="27"/>
        <v>74.010000000000005</v>
      </c>
      <c r="F25" s="365">
        <f t="shared" si="28"/>
        <v>1.08</v>
      </c>
      <c r="G25" s="365">
        <f t="shared" si="16"/>
        <v>75.09</v>
      </c>
      <c r="H25" s="365">
        <f t="shared" si="29"/>
        <v>9.06</v>
      </c>
      <c r="I25" s="365">
        <f t="shared" si="30"/>
        <v>149.1</v>
      </c>
      <c r="J25" s="366">
        <f t="shared" si="17"/>
        <v>1350.846</v>
      </c>
      <c r="K25" s="380" t="s">
        <v>326</v>
      </c>
      <c r="L25" s="378" t="s">
        <v>320</v>
      </c>
      <c r="M25" s="365">
        <v>7000</v>
      </c>
      <c r="N25" s="379">
        <f t="shared" si="31"/>
        <v>994</v>
      </c>
      <c r="O25" s="381">
        <f t="shared" si="18"/>
        <v>82990.306000000011</v>
      </c>
      <c r="P25" s="370">
        <f t="shared" si="19"/>
        <v>1105.2111599414038</v>
      </c>
      <c r="Q25" s="172">
        <v>0.01</v>
      </c>
      <c r="R25" s="371">
        <f t="shared" si="20"/>
        <v>829.9030600000001</v>
      </c>
      <c r="S25" s="172">
        <v>0.04</v>
      </c>
      <c r="T25" s="371">
        <f t="shared" si="21"/>
        <v>3319.6122400000004</v>
      </c>
      <c r="U25" s="372">
        <f t="shared" si="22"/>
        <v>3</v>
      </c>
      <c r="V25" s="172">
        <v>0.95</v>
      </c>
      <c r="W25" s="371">
        <f t="shared" si="23"/>
        <v>78840.790700000012</v>
      </c>
      <c r="X25" s="373"/>
      <c r="Y25" s="373"/>
      <c r="Z25" s="365"/>
      <c r="AA25" s="365"/>
      <c r="AB25" s="373">
        <f>+$R25</f>
        <v>829.9030600000001</v>
      </c>
      <c r="AC25" s="373">
        <f>+$T25/3</f>
        <v>1106.5374133333335</v>
      </c>
      <c r="AD25" s="373">
        <f>+AC25</f>
        <v>1106.5374133333335</v>
      </c>
      <c r="AE25" s="373">
        <f>+AD25</f>
        <v>1106.5374133333335</v>
      </c>
      <c r="AF25" s="373">
        <f>+$W25</f>
        <v>78840.790700000012</v>
      </c>
      <c r="AG25" s="373">
        <v>0</v>
      </c>
      <c r="AH25" s="373">
        <v>0</v>
      </c>
      <c r="AI25" s="373">
        <v>0</v>
      </c>
      <c r="AJ25" s="373">
        <v>0</v>
      </c>
      <c r="AK25" s="373">
        <v>0</v>
      </c>
      <c r="AL25" s="373">
        <v>0</v>
      </c>
      <c r="AM25" s="373">
        <v>0</v>
      </c>
      <c r="AN25" s="373">
        <v>0</v>
      </c>
      <c r="AO25" s="373">
        <v>0</v>
      </c>
      <c r="AP25" s="373">
        <v>0</v>
      </c>
      <c r="AQ25" s="373">
        <v>0</v>
      </c>
      <c r="AR25" s="373">
        <v>0</v>
      </c>
      <c r="AS25" s="373">
        <v>0</v>
      </c>
      <c r="AT25" s="373">
        <v>0</v>
      </c>
      <c r="AU25" s="373">
        <v>0</v>
      </c>
      <c r="AV25" s="373">
        <v>0</v>
      </c>
      <c r="AW25" s="373">
        <v>0</v>
      </c>
      <c r="AX25" s="373">
        <v>0</v>
      </c>
      <c r="AY25" s="373">
        <v>0</v>
      </c>
      <c r="AZ25" s="373">
        <v>0</v>
      </c>
      <c r="BA25" s="373">
        <v>0</v>
      </c>
      <c r="BB25" s="373">
        <v>0</v>
      </c>
      <c r="BC25" s="373">
        <v>0</v>
      </c>
      <c r="BD25" s="373">
        <v>0</v>
      </c>
      <c r="BE25" s="373">
        <v>0</v>
      </c>
      <c r="BF25" s="373">
        <v>0</v>
      </c>
      <c r="BG25" s="373">
        <v>0</v>
      </c>
      <c r="BH25" s="373">
        <v>0</v>
      </c>
      <c r="BI25" s="373">
        <v>0</v>
      </c>
      <c r="BJ25" s="373">
        <v>0</v>
      </c>
      <c r="BK25" s="373">
        <v>0</v>
      </c>
      <c r="BL25" s="373">
        <v>0</v>
      </c>
      <c r="BM25" s="373">
        <v>0</v>
      </c>
      <c r="BN25" s="373">
        <v>0</v>
      </c>
      <c r="BO25" s="373">
        <v>0</v>
      </c>
      <c r="BP25" s="373">
        <v>0</v>
      </c>
      <c r="BQ25" s="373">
        <v>0</v>
      </c>
      <c r="BR25" s="373">
        <v>0</v>
      </c>
      <c r="BS25" s="373">
        <v>0</v>
      </c>
      <c r="BT25" s="373">
        <v>0</v>
      </c>
      <c r="BU25" s="373">
        <v>0</v>
      </c>
      <c r="BV25" s="373">
        <v>0</v>
      </c>
      <c r="BW25" s="373">
        <v>0</v>
      </c>
      <c r="BX25" s="373">
        <v>0</v>
      </c>
      <c r="BY25" s="373">
        <v>0</v>
      </c>
      <c r="BZ25" s="373">
        <v>0</v>
      </c>
      <c r="CA25" s="373">
        <v>0</v>
      </c>
      <c r="CB25" s="373">
        <v>0</v>
      </c>
      <c r="CC25" s="373">
        <v>0</v>
      </c>
      <c r="CD25" s="373">
        <v>0</v>
      </c>
      <c r="CE25" s="373">
        <v>0</v>
      </c>
      <c r="CF25" s="373">
        <v>0</v>
      </c>
      <c r="CG25" s="373">
        <v>0</v>
      </c>
      <c r="CH25" s="373">
        <v>0</v>
      </c>
      <c r="CI25" s="373">
        <v>0</v>
      </c>
      <c r="CJ25" s="373">
        <v>0</v>
      </c>
      <c r="CK25" s="373">
        <v>0</v>
      </c>
      <c r="CL25" s="373">
        <v>0</v>
      </c>
      <c r="CM25" s="373">
        <v>0</v>
      </c>
      <c r="CN25" s="373">
        <v>0</v>
      </c>
      <c r="CO25" s="373">
        <v>0</v>
      </c>
      <c r="CP25" s="373">
        <v>0</v>
      </c>
      <c r="CQ25" s="373">
        <v>0</v>
      </c>
      <c r="CR25" s="373">
        <v>0</v>
      </c>
      <c r="CS25" s="373">
        <v>0</v>
      </c>
      <c r="CT25" s="373">
        <v>0</v>
      </c>
      <c r="CU25" s="373">
        <v>0</v>
      </c>
      <c r="CV25" s="373">
        <v>0</v>
      </c>
      <c r="CW25" s="373">
        <v>0</v>
      </c>
      <c r="CX25" s="373">
        <v>0</v>
      </c>
      <c r="CY25" s="373">
        <v>0</v>
      </c>
      <c r="CZ25" s="373">
        <v>0</v>
      </c>
      <c r="DA25" s="373">
        <v>0</v>
      </c>
      <c r="DB25" s="373">
        <v>0</v>
      </c>
      <c r="DC25" s="373">
        <v>0</v>
      </c>
      <c r="DD25" s="373">
        <v>0</v>
      </c>
      <c r="DE25" s="373">
        <v>0</v>
      </c>
      <c r="DF25" s="373">
        <v>0</v>
      </c>
      <c r="DG25" s="373">
        <v>0</v>
      </c>
      <c r="DH25" s="373">
        <v>0</v>
      </c>
      <c r="DI25" s="373">
        <v>0</v>
      </c>
      <c r="DJ25" s="373">
        <v>0</v>
      </c>
      <c r="DK25" s="373">
        <v>0</v>
      </c>
      <c r="DL25" s="373">
        <v>0</v>
      </c>
      <c r="DM25" s="373">
        <v>0</v>
      </c>
      <c r="DN25" s="373">
        <v>0</v>
      </c>
      <c r="DO25" s="373">
        <v>0</v>
      </c>
      <c r="DP25" s="373">
        <v>0</v>
      </c>
      <c r="DQ25" s="373">
        <v>0</v>
      </c>
      <c r="DR25" s="373">
        <v>0</v>
      </c>
      <c r="DS25" s="365">
        <v>0</v>
      </c>
      <c r="DT25" s="374">
        <f t="shared" si="24"/>
        <v>82990.306000000011</v>
      </c>
      <c r="DU25" s="375">
        <f t="shared" si="25"/>
        <v>0</v>
      </c>
      <c r="DV25" s="376"/>
      <c r="DW25" s="138" t="b">
        <f t="shared" si="26"/>
        <v>1</v>
      </c>
    </row>
    <row r="26" spans="1:127" s="138" customFormat="1" ht="12" customHeight="1">
      <c r="A26" s="169" t="s">
        <v>327</v>
      </c>
      <c r="B26" s="170"/>
      <c r="C26" s="171" t="s">
        <v>280</v>
      </c>
      <c r="D26" s="171"/>
      <c r="E26" s="365">
        <f t="shared" si="27"/>
        <v>74.010000000000005</v>
      </c>
      <c r="F26" s="365">
        <f t="shared" si="28"/>
        <v>1.08</v>
      </c>
      <c r="G26" s="365">
        <f t="shared" si="16"/>
        <v>75.09</v>
      </c>
      <c r="H26" s="365">
        <f t="shared" si="29"/>
        <v>9.06</v>
      </c>
      <c r="I26" s="365">
        <f t="shared" si="30"/>
        <v>149.1</v>
      </c>
      <c r="J26" s="366">
        <f t="shared" si="17"/>
        <v>1350.846</v>
      </c>
      <c r="K26" s="378" t="s">
        <v>328</v>
      </c>
      <c r="L26" s="378" t="s">
        <v>329</v>
      </c>
      <c r="M26" s="365">
        <v>5000</v>
      </c>
      <c r="N26" s="379">
        <f t="shared" si="31"/>
        <v>994</v>
      </c>
      <c r="O26" s="382">
        <f t="shared" si="18"/>
        <v>80990.306000000011</v>
      </c>
      <c r="P26" s="370">
        <f t="shared" si="19"/>
        <v>1078.5764549207618</v>
      </c>
      <c r="Q26" s="172">
        <v>0.01</v>
      </c>
      <c r="R26" s="371">
        <f t="shared" si="20"/>
        <v>809.9030600000001</v>
      </c>
      <c r="S26" s="172">
        <v>0.04</v>
      </c>
      <c r="T26" s="371">
        <f t="shared" si="21"/>
        <v>3239.6122400000004</v>
      </c>
      <c r="U26" s="372">
        <f t="shared" si="22"/>
        <v>5</v>
      </c>
      <c r="V26" s="172">
        <v>0.95</v>
      </c>
      <c r="W26" s="371">
        <f t="shared" si="23"/>
        <v>76940.790700000012</v>
      </c>
      <c r="X26" s="373"/>
      <c r="Y26" s="373"/>
      <c r="Z26" s="373"/>
      <c r="AA26" s="373"/>
      <c r="AB26" s="373"/>
      <c r="AC26" s="373">
        <f>+$R26</f>
        <v>809.9030600000001</v>
      </c>
      <c r="AD26" s="373">
        <f>+$T26/5</f>
        <v>647.92244800000003</v>
      </c>
      <c r="AE26" s="373">
        <f>+AD26</f>
        <v>647.92244800000003</v>
      </c>
      <c r="AF26" s="373">
        <f>+AE26</f>
        <v>647.92244800000003</v>
      </c>
      <c r="AG26" s="373">
        <f>+AF26</f>
        <v>647.92244800000003</v>
      </c>
      <c r="AH26" s="373">
        <f>+AG26</f>
        <v>647.92244800000003</v>
      </c>
      <c r="AI26" s="373">
        <f>+$W26</f>
        <v>76940.790700000012</v>
      </c>
      <c r="AJ26" s="373">
        <v>0</v>
      </c>
      <c r="AK26" s="373">
        <v>0</v>
      </c>
      <c r="AL26" s="373">
        <v>0</v>
      </c>
      <c r="AM26" s="373">
        <v>0</v>
      </c>
      <c r="AN26" s="373">
        <v>0</v>
      </c>
      <c r="AO26" s="373">
        <v>0</v>
      </c>
      <c r="AP26" s="373">
        <v>0</v>
      </c>
      <c r="AQ26" s="373">
        <v>0</v>
      </c>
      <c r="AR26" s="373">
        <v>0</v>
      </c>
      <c r="AS26" s="373">
        <v>0</v>
      </c>
      <c r="AT26" s="373">
        <v>0</v>
      </c>
      <c r="AU26" s="373">
        <v>0</v>
      </c>
      <c r="AV26" s="373">
        <v>0</v>
      </c>
      <c r="AW26" s="373">
        <v>0</v>
      </c>
      <c r="AX26" s="373">
        <v>0</v>
      </c>
      <c r="AY26" s="373">
        <v>0</v>
      </c>
      <c r="AZ26" s="373">
        <v>0</v>
      </c>
      <c r="BA26" s="373">
        <v>0</v>
      </c>
      <c r="BB26" s="373">
        <v>0</v>
      </c>
      <c r="BC26" s="373">
        <v>0</v>
      </c>
      <c r="BD26" s="373">
        <v>0</v>
      </c>
      <c r="BE26" s="373">
        <v>0</v>
      </c>
      <c r="BF26" s="373">
        <v>0</v>
      </c>
      <c r="BG26" s="373">
        <v>0</v>
      </c>
      <c r="BH26" s="373">
        <v>0</v>
      </c>
      <c r="BI26" s="373">
        <v>0</v>
      </c>
      <c r="BJ26" s="373">
        <v>0</v>
      </c>
      <c r="BK26" s="373">
        <v>0</v>
      </c>
      <c r="BL26" s="373">
        <v>0</v>
      </c>
      <c r="BM26" s="373">
        <v>0</v>
      </c>
      <c r="BN26" s="373">
        <v>0</v>
      </c>
      <c r="BO26" s="373">
        <v>0</v>
      </c>
      <c r="BP26" s="373">
        <v>0</v>
      </c>
      <c r="BQ26" s="373">
        <v>0</v>
      </c>
      <c r="BR26" s="373">
        <v>0</v>
      </c>
      <c r="BS26" s="373">
        <v>0</v>
      </c>
      <c r="BT26" s="373">
        <v>0</v>
      </c>
      <c r="BU26" s="373">
        <v>0</v>
      </c>
      <c r="BV26" s="373">
        <v>0</v>
      </c>
      <c r="BW26" s="373">
        <v>0</v>
      </c>
      <c r="BX26" s="373">
        <v>0</v>
      </c>
      <c r="BY26" s="373">
        <v>0</v>
      </c>
      <c r="BZ26" s="373">
        <v>0</v>
      </c>
      <c r="CA26" s="373">
        <v>0</v>
      </c>
      <c r="CB26" s="373">
        <v>0</v>
      </c>
      <c r="CC26" s="373">
        <v>0</v>
      </c>
      <c r="CD26" s="373">
        <v>0</v>
      </c>
      <c r="CE26" s="373">
        <v>0</v>
      </c>
      <c r="CF26" s="373">
        <v>0</v>
      </c>
      <c r="CG26" s="373">
        <v>0</v>
      </c>
      <c r="CH26" s="373">
        <v>0</v>
      </c>
      <c r="CI26" s="373">
        <v>0</v>
      </c>
      <c r="CJ26" s="373">
        <v>0</v>
      </c>
      <c r="CK26" s="373">
        <v>0</v>
      </c>
      <c r="CL26" s="373">
        <v>0</v>
      </c>
      <c r="CM26" s="373">
        <v>0</v>
      </c>
      <c r="CN26" s="373">
        <v>0</v>
      </c>
      <c r="CO26" s="373">
        <v>0</v>
      </c>
      <c r="CP26" s="373">
        <v>0</v>
      </c>
      <c r="CQ26" s="373">
        <v>0</v>
      </c>
      <c r="CR26" s="373">
        <v>0</v>
      </c>
      <c r="CS26" s="373">
        <v>0</v>
      </c>
      <c r="CT26" s="373">
        <v>0</v>
      </c>
      <c r="CU26" s="373">
        <v>0</v>
      </c>
      <c r="CV26" s="373">
        <v>0</v>
      </c>
      <c r="CW26" s="373">
        <v>0</v>
      </c>
      <c r="CX26" s="373">
        <v>0</v>
      </c>
      <c r="CY26" s="373">
        <v>0</v>
      </c>
      <c r="CZ26" s="373">
        <v>0</v>
      </c>
      <c r="DA26" s="373">
        <v>0</v>
      </c>
      <c r="DB26" s="373">
        <v>0</v>
      </c>
      <c r="DC26" s="373">
        <v>0</v>
      </c>
      <c r="DD26" s="373">
        <v>0</v>
      </c>
      <c r="DE26" s="373">
        <v>0</v>
      </c>
      <c r="DF26" s="373">
        <v>0</v>
      </c>
      <c r="DG26" s="373">
        <v>0</v>
      </c>
      <c r="DH26" s="373">
        <v>0</v>
      </c>
      <c r="DI26" s="373">
        <v>0</v>
      </c>
      <c r="DJ26" s="373">
        <v>0</v>
      </c>
      <c r="DK26" s="373">
        <v>0</v>
      </c>
      <c r="DL26" s="373">
        <v>0</v>
      </c>
      <c r="DM26" s="373">
        <v>0</v>
      </c>
      <c r="DN26" s="373">
        <v>0</v>
      </c>
      <c r="DO26" s="373">
        <v>0</v>
      </c>
      <c r="DP26" s="373">
        <v>0</v>
      </c>
      <c r="DQ26" s="373">
        <v>0</v>
      </c>
      <c r="DR26" s="373">
        <v>0</v>
      </c>
      <c r="DS26" s="365">
        <v>0</v>
      </c>
      <c r="DT26" s="374">
        <f t="shared" si="24"/>
        <v>80990.306000000011</v>
      </c>
      <c r="DU26" s="375">
        <f t="shared" si="25"/>
        <v>0</v>
      </c>
      <c r="DV26" s="376"/>
      <c r="DW26" s="138" t="b">
        <f t="shared" si="26"/>
        <v>1</v>
      </c>
    </row>
    <row r="27" spans="1:127" s="138" customFormat="1" ht="12" customHeight="1">
      <c r="A27" s="169" t="s">
        <v>330</v>
      </c>
      <c r="B27" s="170"/>
      <c r="C27" s="171" t="s">
        <v>280</v>
      </c>
      <c r="D27" s="171"/>
      <c r="E27" s="365">
        <f t="shared" si="27"/>
        <v>74.010000000000005</v>
      </c>
      <c r="F27" s="365">
        <f t="shared" si="28"/>
        <v>1.08</v>
      </c>
      <c r="G27" s="365">
        <f t="shared" si="16"/>
        <v>75.09</v>
      </c>
      <c r="H27" s="365">
        <f t="shared" si="29"/>
        <v>9.06</v>
      </c>
      <c r="I27" s="365">
        <f t="shared" si="30"/>
        <v>149.1</v>
      </c>
      <c r="J27" s="366">
        <f t="shared" si="17"/>
        <v>1350.846</v>
      </c>
      <c r="K27" s="378" t="s">
        <v>331</v>
      </c>
      <c r="L27" s="378" t="s">
        <v>329</v>
      </c>
      <c r="M27" s="365">
        <v>5000</v>
      </c>
      <c r="N27" s="379">
        <f t="shared" si="31"/>
        <v>994</v>
      </c>
      <c r="O27" s="382">
        <f t="shared" si="18"/>
        <v>80990.306000000011</v>
      </c>
      <c r="P27" s="370">
        <f t="shared" si="19"/>
        <v>1078.5764549207618</v>
      </c>
      <c r="Q27" s="172">
        <v>0.01</v>
      </c>
      <c r="R27" s="371">
        <f t="shared" si="20"/>
        <v>809.9030600000001</v>
      </c>
      <c r="S27" s="172">
        <v>0.04</v>
      </c>
      <c r="T27" s="371">
        <f t="shared" si="21"/>
        <v>3239.6122400000004</v>
      </c>
      <c r="U27" s="372">
        <f t="shared" si="22"/>
        <v>3</v>
      </c>
      <c r="V27" s="172">
        <v>0.95</v>
      </c>
      <c r="W27" s="371">
        <f t="shared" si="23"/>
        <v>76940.790700000012</v>
      </c>
      <c r="X27" s="373"/>
      <c r="Y27" s="373"/>
      <c r="Z27" s="373"/>
      <c r="AA27" s="373"/>
      <c r="AB27" s="373"/>
      <c r="AC27" s="373">
        <f>+$R27</f>
        <v>809.9030600000001</v>
      </c>
      <c r="AD27" s="373">
        <f>+$T27/3</f>
        <v>1079.8707466666667</v>
      </c>
      <c r="AE27" s="373">
        <f>+AD27</f>
        <v>1079.8707466666667</v>
      </c>
      <c r="AF27" s="373">
        <f>+AE27</f>
        <v>1079.8707466666667</v>
      </c>
      <c r="AG27" s="373">
        <f>+$W27</f>
        <v>76940.790700000012</v>
      </c>
      <c r="AH27" s="373">
        <v>0</v>
      </c>
      <c r="AI27" s="373">
        <v>0</v>
      </c>
      <c r="AJ27" s="373">
        <v>0</v>
      </c>
      <c r="AK27" s="373">
        <v>0</v>
      </c>
      <c r="AL27" s="373">
        <v>0</v>
      </c>
      <c r="AM27" s="373">
        <v>0</v>
      </c>
      <c r="AN27" s="373">
        <v>0</v>
      </c>
      <c r="AO27" s="373">
        <v>0</v>
      </c>
      <c r="AP27" s="373">
        <v>0</v>
      </c>
      <c r="AQ27" s="373">
        <v>0</v>
      </c>
      <c r="AR27" s="373">
        <v>0</v>
      </c>
      <c r="AS27" s="373">
        <v>0</v>
      </c>
      <c r="AT27" s="373">
        <v>0</v>
      </c>
      <c r="AU27" s="373">
        <v>0</v>
      </c>
      <c r="AV27" s="373">
        <v>0</v>
      </c>
      <c r="AW27" s="373">
        <v>0</v>
      </c>
      <c r="AX27" s="373">
        <v>0</v>
      </c>
      <c r="AY27" s="373">
        <v>0</v>
      </c>
      <c r="AZ27" s="373">
        <v>0</v>
      </c>
      <c r="BA27" s="373">
        <v>0</v>
      </c>
      <c r="BB27" s="373">
        <v>0</v>
      </c>
      <c r="BC27" s="373">
        <v>0</v>
      </c>
      <c r="BD27" s="373">
        <v>0</v>
      </c>
      <c r="BE27" s="373">
        <v>0</v>
      </c>
      <c r="BF27" s="373">
        <v>0</v>
      </c>
      <c r="BG27" s="373">
        <v>0</v>
      </c>
      <c r="BH27" s="373">
        <v>0</v>
      </c>
      <c r="BI27" s="373">
        <v>0</v>
      </c>
      <c r="BJ27" s="373">
        <v>0</v>
      </c>
      <c r="BK27" s="373">
        <v>0</v>
      </c>
      <c r="BL27" s="373">
        <v>0</v>
      </c>
      <c r="BM27" s="373">
        <v>0</v>
      </c>
      <c r="BN27" s="373">
        <v>0</v>
      </c>
      <c r="BO27" s="373">
        <v>0</v>
      </c>
      <c r="BP27" s="373">
        <v>0</v>
      </c>
      <c r="BQ27" s="373">
        <v>0</v>
      </c>
      <c r="BR27" s="373">
        <v>0</v>
      </c>
      <c r="BS27" s="373">
        <v>0</v>
      </c>
      <c r="BT27" s="373">
        <v>0</v>
      </c>
      <c r="BU27" s="373">
        <v>0</v>
      </c>
      <c r="BV27" s="373">
        <v>0</v>
      </c>
      <c r="BW27" s="373">
        <v>0</v>
      </c>
      <c r="BX27" s="373">
        <v>0</v>
      </c>
      <c r="BY27" s="373">
        <v>0</v>
      </c>
      <c r="BZ27" s="373">
        <v>0</v>
      </c>
      <c r="CA27" s="373">
        <v>0</v>
      </c>
      <c r="CB27" s="373">
        <v>0</v>
      </c>
      <c r="CC27" s="373">
        <v>0</v>
      </c>
      <c r="CD27" s="373">
        <v>0</v>
      </c>
      <c r="CE27" s="373">
        <v>0</v>
      </c>
      <c r="CF27" s="373">
        <v>0</v>
      </c>
      <c r="CG27" s="373">
        <v>0</v>
      </c>
      <c r="CH27" s="373">
        <v>0</v>
      </c>
      <c r="CI27" s="373">
        <v>0</v>
      </c>
      <c r="CJ27" s="373">
        <v>0</v>
      </c>
      <c r="CK27" s="373">
        <v>0</v>
      </c>
      <c r="CL27" s="373">
        <v>0</v>
      </c>
      <c r="CM27" s="373">
        <v>0</v>
      </c>
      <c r="CN27" s="373">
        <v>0</v>
      </c>
      <c r="CO27" s="373">
        <v>0</v>
      </c>
      <c r="CP27" s="373">
        <v>0</v>
      </c>
      <c r="CQ27" s="373">
        <v>0</v>
      </c>
      <c r="CR27" s="373">
        <v>0</v>
      </c>
      <c r="CS27" s="373">
        <v>0</v>
      </c>
      <c r="CT27" s="373">
        <v>0</v>
      </c>
      <c r="CU27" s="373">
        <v>0</v>
      </c>
      <c r="CV27" s="373">
        <v>0</v>
      </c>
      <c r="CW27" s="373">
        <v>0</v>
      </c>
      <c r="CX27" s="373">
        <v>0</v>
      </c>
      <c r="CY27" s="373">
        <v>0</v>
      </c>
      <c r="CZ27" s="373">
        <v>0</v>
      </c>
      <c r="DA27" s="373">
        <v>0</v>
      </c>
      <c r="DB27" s="373">
        <v>0</v>
      </c>
      <c r="DC27" s="373">
        <v>0</v>
      </c>
      <c r="DD27" s="373">
        <v>0</v>
      </c>
      <c r="DE27" s="373">
        <v>0</v>
      </c>
      <c r="DF27" s="373">
        <v>0</v>
      </c>
      <c r="DG27" s="373">
        <v>0</v>
      </c>
      <c r="DH27" s="373">
        <v>0</v>
      </c>
      <c r="DI27" s="373">
        <v>0</v>
      </c>
      <c r="DJ27" s="373">
        <v>0</v>
      </c>
      <c r="DK27" s="373">
        <v>0</v>
      </c>
      <c r="DL27" s="373">
        <v>0</v>
      </c>
      <c r="DM27" s="373">
        <v>0</v>
      </c>
      <c r="DN27" s="373">
        <v>0</v>
      </c>
      <c r="DO27" s="373">
        <v>0</v>
      </c>
      <c r="DP27" s="373">
        <v>0</v>
      </c>
      <c r="DQ27" s="373">
        <v>0</v>
      </c>
      <c r="DR27" s="373">
        <v>0</v>
      </c>
      <c r="DS27" s="365">
        <v>0</v>
      </c>
      <c r="DT27" s="374">
        <f t="shared" si="24"/>
        <v>80990.306000000011</v>
      </c>
      <c r="DU27" s="375">
        <f t="shared" si="25"/>
        <v>0</v>
      </c>
      <c r="DV27" s="376"/>
      <c r="DW27" s="138" t="b">
        <f t="shared" si="26"/>
        <v>1</v>
      </c>
    </row>
    <row r="28" spans="1:127" s="138" customFormat="1" ht="12" customHeight="1">
      <c r="A28" s="169" t="s">
        <v>332</v>
      </c>
      <c r="B28" s="170"/>
      <c r="C28" s="171" t="s">
        <v>280</v>
      </c>
      <c r="D28" s="171"/>
      <c r="E28" s="365">
        <f t="shared" si="27"/>
        <v>74.010000000000005</v>
      </c>
      <c r="F28" s="365">
        <f t="shared" si="28"/>
        <v>1.08</v>
      </c>
      <c r="G28" s="365">
        <f t="shared" si="16"/>
        <v>75.09</v>
      </c>
      <c r="H28" s="365">
        <f t="shared" si="29"/>
        <v>9.06</v>
      </c>
      <c r="I28" s="365">
        <f t="shared" si="30"/>
        <v>149.1</v>
      </c>
      <c r="J28" s="366">
        <f t="shared" si="17"/>
        <v>1350.846</v>
      </c>
      <c r="K28" s="378" t="s">
        <v>333</v>
      </c>
      <c r="L28" s="378" t="s">
        <v>329</v>
      </c>
      <c r="M28" s="365">
        <v>5000</v>
      </c>
      <c r="N28" s="379">
        <f t="shared" si="31"/>
        <v>994</v>
      </c>
      <c r="O28" s="382">
        <f t="shared" si="18"/>
        <v>80990.306000000011</v>
      </c>
      <c r="P28" s="370">
        <f t="shared" si="19"/>
        <v>1078.5764549207618</v>
      </c>
      <c r="Q28" s="172">
        <v>0.01</v>
      </c>
      <c r="R28" s="371">
        <f t="shared" si="20"/>
        <v>809.9030600000001</v>
      </c>
      <c r="S28" s="172">
        <v>0.04</v>
      </c>
      <c r="T28" s="371">
        <f t="shared" si="21"/>
        <v>3239.6122400000004</v>
      </c>
      <c r="U28" s="372">
        <f t="shared" si="22"/>
        <v>5</v>
      </c>
      <c r="V28" s="172">
        <v>0.95</v>
      </c>
      <c r="W28" s="371">
        <f t="shared" si="23"/>
        <v>76940.790700000012</v>
      </c>
      <c r="X28" s="373"/>
      <c r="Y28" s="373"/>
      <c r="Z28" s="373"/>
      <c r="AA28" s="373"/>
      <c r="AB28" s="373"/>
      <c r="AC28" s="373"/>
      <c r="AD28" s="373">
        <f>+$R28</f>
        <v>809.9030600000001</v>
      </c>
      <c r="AE28" s="373">
        <f>+$T28/5</f>
        <v>647.92244800000003</v>
      </c>
      <c r="AF28" s="373">
        <f>+AE28</f>
        <v>647.92244800000003</v>
      </c>
      <c r="AG28" s="373">
        <f>+AF28</f>
        <v>647.92244800000003</v>
      </c>
      <c r="AH28" s="373">
        <f>+AG28</f>
        <v>647.92244800000003</v>
      </c>
      <c r="AI28" s="373">
        <f>+AH28</f>
        <v>647.92244800000003</v>
      </c>
      <c r="AJ28" s="373">
        <f>+$W28</f>
        <v>76940.790700000012</v>
      </c>
      <c r="AK28" s="373">
        <v>0</v>
      </c>
      <c r="AL28" s="373">
        <v>0</v>
      </c>
      <c r="AM28" s="373">
        <v>0</v>
      </c>
      <c r="AN28" s="373">
        <v>0</v>
      </c>
      <c r="AO28" s="373">
        <v>0</v>
      </c>
      <c r="AP28" s="373">
        <v>0</v>
      </c>
      <c r="AQ28" s="373">
        <v>0</v>
      </c>
      <c r="AR28" s="373">
        <v>0</v>
      </c>
      <c r="AS28" s="373">
        <v>0</v>
      </c>
      <c r="AT28" s="373">
        <v>0</v>
      </c>
      <c r="AU28" s="373">
        <v>0</v>
      </c>
      <c r="AV28" s="373">
        <v>0</v>
      </c>
      <c r="AW28" s="373">
        <v>0</v>
      </c>
      <c r="AX28" s="373">
        <v>0</v>
      </c>
      <c r="AY28" s="373">
        <v>0</v>
      </c>
      <c r="AZ28" s="373">
        <v>0</v>
      </c>
      <c r="BA28" s="373">
        <v>0</v>
      </c>
      <c r="BB28" s="373">
        <v>0</v>
      </c>
      <c r="BC28" s="373">
        <v>0</v>
      </c>
      <c r="BD28" s="373">
        <v>0</v>
      </c>
      <c r="BE28" s="373">
        <v>0</v>
      </c>
      <c r="BF28" s="373">
        <v>0</v>
      </c>
      <c r="BG28" s="373">
        <v>0</v>
      </c>
      <c r="BH28" s="373">
        <v>0</v>
      </c>
      <c r="BI28" s="373">
        <v>0</v>
      </c>
      <c r="BJ28" s="373">
        <v>0</v>
      </c>
      <c r="BK28" s="373">
        <v>0</v>
      </c>
      <c r="BL28" s="373">
        <v>0</v>
      </c>
      <c r="BM28" s="373">
        <v>0</v>
      </c>
      <c r="BN28" s="373">
        <v>0</v>
      </c>
      <c r="BO28" s="373">
        <v>0</v>
      </c>
      <c r="BP28" s="373">
        <v>0</v>
      </c>
      <c r="BQ28" s="373">
        <v>0</v>
      </c>
      <c r="BR28" s="373">
        <v>0</v>
      </c>
      <c r="BS28" s="373">
        <v>0</v>
      </c>
      <c r="BT28" s="373">
        <v>0</v>
      </c>
      <c r="BU28" s="373">
        <v>0</v>
      </c>
      <c r="BV28" s="373">
        <v>0</v>
      </c>
      <c r="BW28" s="373">
        <v>0</v>
      </c>
      <c r="BX28" s="373">
        <v>0</v>
      </c>
      <c r="BY28" s="373">
        <v>0</v>
      </c>
      <c r="BZ28" s="373">
        <v>0</v>
      </c>
      <c r="CA28" s="373">
        <v>0</v>
      </c>
      <c r="CB28" s="373">
        <v>0</v>
      </c>
      <c r="CC28" s="373">
        <v>0</v>
      </c>
      <c r="CD28" s="373">
        <v>0</v>
      </c>
      <c r="CE28" s="373">
        <v>0</v>
      </c>
      <c r="CF28" s="373">
        <v>0</v>
      </c>
      <c r="CG28" s="373">
        <v>0</v>
      </c>
      <c r="CH28" s="373">
        <v>0</v>
      </c>
      <c r="CI28" s="373">
        <v>0</v>
      </c>
      <c r="CJ28" s="373">
        <v>0</v>
      </c>
      <c r="CK28" s="373">
        <v>0</v>
      </c>
      <c r="CL28" s="373">
        <v>0</v>
      </c>
      <c r="CM28" s="373">
        <v>0</v>
      </c>
      <c r="CN28" s="373">
        <v>0</v>
      </c>
      <c r="CO28" s="373">
        <v>0</v>
      </c>
      <c r="CP28" s="373">
        <v>0</v>
      </c>
      <c r="CQ28" s="373">
        <v>0</v>
      </c>
      <c r="CR28" s="373">
        <v>0</v>
      </c>
      <c r="CS28" s="373">
        <v>0</v>
      </c>
      <c r="CT28" s="373">
        <v>0</v>
      </c>
      <c r="CU28" s="373">
        <v>0</v>
      </c>
      <c r="CV28" s="373">
        <v>0</v>
      </c>
      <c r="CW28" s="373">
        <v>0</v>
      </c>
      <c r="CX28" s="373">
        <v>0</v>
      </c>
      <c r="CY28" s="373">
        <v>0</v>
      </c>
      <c r="CZ28" s="373">
        <v>0</v>
      </c>
      <c r="DA28" s="373">
        <v>0</v>
      </c>
      <c r="DB28" s="373">
        <v>0</v>
      </c>
      <c r="DC28" s="373">
        <v>0</v>
      </c>
      <c r="DD28" s="373">
        <v>0</v>
      </c>
      <c r="DE28" s="373">
        <v>0</v>
      </c>
      <c r="DF28" s="373">
        <v>0</v>
      </c>
      <c r="DG28" s="373">
        <v>0</v>
      </c>
      <c r="DH28" s="373">
        <v>0</v>
      </c>
      <c r="DI28" s="373">
        <v>0</v>
      </c>
      <c r="DJ28" s="373">
        <v>0</v>
      </c>
      <c r="DK28" s="373">
        <v>0</v>
      </c>
      <c r="DL28" s="373">
        <v>0</v>
      </c>
      <c r="DM28" s="373">
        <v>0</v>
      </c>
      <c r="DN28" s="373">
        <v>0</v>
      </c>
      <c r="DO28" s="373">
        <v>0</v>
      </c>
      <c r="DP28" s="373">
        <v>0</v>
      </c>
      <c r="DQ28" s="373">
        <v>0</v>
      </c>
      <c r="DR28" s="373">
        <v>0</v>
      </c>
      <c r="DS28" s="365">
        <v>0</v>
      </c>
      <c r="DT28" s="374">
        <f t="shared" si="24"/>
        <v>80990.306000000011</v>
      </c>
      <c r="DU28" s="375">
        <f t="shared" si="25"/>
        <v>0</v>
      </c>
      <c r="DV28" s="376"/>
      <c r="DW28" s="138" t="b">
        <f t="shared" si="26"/>
        <v>1</v>
      </c>
    </row>
    <row r="29" spans="1:127" s="138" customFormat="1" ht="12" customHeight="1">
      <c r="A29" s="169" t="s">
        <v>334</v>
      </c>
      <c r="B29" s="170"/>
      <c r="C29" s="171" t="s">
        <v>280</v>
      </c>
      <c r="D29" s="171"/>
      <c r="E29" s="365">
        <f t="shared" si="27"/>
        <v>74.010000000000005</v>
      </c>
      <c r="F29" s="365">
        <f t="shared" si="28"/>
        <v>1.08</v>
      </c>
      <c r="G29" s="365">
        <f t="shared" si="16"/>
        <v>75.09</v>
      </c>
      <c r="H29" s="365">
        <f t="shared" si="29"/>
        <v>9.06</v>
      </c>
      <c r="I29" s="365">
        <f t="shared" si="30"/>
        <v>149.1</v>
      </c>
      <c r="J29" s="366">
        <f t="shared" si="17"/>
        <v>1350.846</v>
      </c>
      <c r="K29" s="377" t="s">
        <v>335</v>
      </c>
      <c r="L29" s="378" t="s">
        <v>309</v>
      </c>
      <c r="M29" s="365">
        <v>6000</v>
      </c>
      <c r="N29" s="379">
        <f t="shared" si="31"/>
        <v>994</v>
      </c>
      <c r="O29" s="369">
        <f t="shared" si="18"/>
        <v>81990.306000000011</v>
      </c>
      <c r="P29" s="370">
        <f t="shared" si="19"/>
        <v>1091.8938074310829</v>
      </c>
      <c r="Q29" s="172">
        <v>0.01</v>
      </c>
      <c r="R29" s="371">
        <f t="shared" si="20"/>
        <v>819.9030600000001</v>
      </c>
      <c r="S29" s="172">
        <v>0.04</v>
      </c>
      <c r="T29" s="371">
        <f t="shared" si="21"/>
        <v>3279.6122400000004</v>
      </c>
      <c r="U29" s="372">
        <f t="shared" si="22"/>
        <v>3</v>
      </c>
      <c r="V29" s="172">
        <v>0.95</v>
      </c>
      <c r="W29" s="371">
        <f t="shared" si="23"/>
        <v>77890.790700000012</v>
      </c>
      <c r="X29" s="373"/>
      <c r="Y29" s="373"/>
      <c r="Z29" s="373"/>
      <c r="AA29" s="373"/>
      <c r="AB29" s="373"/>
      <c r="AC29" s="373"/>
      <c r="AD29" s="373">
        <f>+$R29</f>
        <v>819.9030600000001</v>
      </c>
      <c r="AE29" s="373">
        <f>+$T29/3</f>
        <v>1093.2040800000002</v>
      </c>
      <c r="AF29" s="373">
        <f>+AE29</f>
        <v>1093.2040800000002</v>
      </c>
      <c r="AG29" s="373">
        <f>+AF29</f>
        <v>1093.2040800000002</v>
      </c>
      <c r="AH29" s="373">
        <f>+$W29</f>
        <v>77890.790700000012</v>
      </c>
      <c r="AI29" s="373">
        <v>0</v>
      </c>
      <c r="AJ29" s="373">
        <v>0</v>
      </c>
      <c r="AK29" s="373">
        <v>0</v>
      </c>
      <c r="AL29" s="373">
        <v>0</v>
      </c>
      <c r="AM29" s="373">
        <v>0</v>
      </c>
      <c r="AN29" s="373">
        <v>0</v>
      </c>
      <c r="AO29" s="373">
        <v>0</v>
      </c>
      <c r="AP29" s="373">
        <v>0</v>
      </c>
      <c r="AQ29" s="373">
        <v>0</v>
      </c>
      <c r="AR29" s="373">
        <v>0</v>
      </c>
      <c r="AS29" s="373">
        <v>0</v>
      </c>
      <c r="AT29" s="373">
        <v>0</v>
      </c>
      <c r="AU29" s="373">
        <v>0</v>
      </c>
      <c r="AV29" s="373">
        <v>0</v>
      </c>
      <c r="AW29" s="373">
        <v>0</v>
      </c>
      <c r="AX29" s="373">
        <v>0</v>
      </c>
      <c r="AY29" s="373">
        <v>0</v>
      </c>
      <c r="AZ29" s="373">
        <v>0</v>
      </c>
      <c r="BA29" s="373">
        <v>0</v>
      </c>
      <c r="BB29" s="373">
        <v>0</v>
      </c>
      <c r="BC29" s="373">
        <v>0</v>
      </c>
      <c r="BD29" s="373">
        <v>0</v>
      </c>
      <c r="BE29" s="373">
        <v>0</v>
      </c>
      <c r="BF29" s="373">
        <v>0</v>
      </c>
      <c r="BG29" s="373">
        <v>0</v>
      </c>
      <c r="BH29" s="373">
        <v>0</v>
      </c>
      <c r="BI29" s="373">
        <v>0</v>
      </c>
      <c r="BJ29" s="373">
        <v>0</v>
      </c>
      <c r="BK29" s="373">
        <v>0</v>
      </c>
      <c r="BL29" s="373">
        <v>0</v>
      </c>
      <c r="BM29" s="373">
        <v>0</v>
      </c>
      <c r="BN29" s="373">
        <v>0</v>
      </c>
      <c r="BO29" s="373">
        <v>0</v>
      </c>
      <c r="BP29" s="373">
        <v>0</v>
      </c>
      <c r="BQ29" s="373">
        <v>0</v>
      </c>
      <c r="BR29" s="373">
        <v>0</v>
      </c>
      <c r="BS29" s="373">
        <v>0</v>
      </c>
      <c r="BT29" s="373">
        <v>0</v>
      </c>
      <c r="BU29" s="373">
        <v>0</v>
      </c>
      <c r="BV29" s="373">
        <v>0</v>
      </c>
      <c r="BW29" s="373">
        <v>0</v>
      </c>
      <c r="BX29" s="373">
        <v>0</v>
      </c>
      <c r="BY29" s="373">
        <v>0</v>
      </c>
      <c r="BZ29" s="373">
        <v>0</v>
      </c>
      <c r="CA29" s="373">
        <v>0</v>
      </c>
      <c r="CB29" s="373">
        <v>0</v>
      </c>
      <c r="CC29" s="373">
        <v>0</v>
      </c>
      <c r="CD29" s="373">
        <v>0</v>
      </c>
      <c r="CE29" s="373">
        <v>0</v>
      </c>
      <c r="CF29" s="373">
        <v>0</v>
      </c>
      <c r="CG29" s="373">
        <v>0</v>
      </c>
      <c r="CH29" s="373">
        <v>0</v>
      </c>
      <c r="CI29" s="373">
        <v>0</v>
      </c>
      <c r="CJ29" s="373">
        <v>0</v>
      </c>
      <c r="CK29" s="373">
        <v>0</v>
      </c>
      <c r="CL29" s="373">
        <v>0</v>
      </c>
      <c r="CM29" s="373">
        <v>0</v>
      </c>
      <c r="CN29" s="373">
        <v>0</v>
      </c>
      <c r="CO29" s="373">
        <v>0</v>
      </c>
      <c r="CP29" s="373">
        <v>0</v>
      </c>
      <c r="CQ29" s="373">
        <v>0</v>
      </c>
      <c r="CR29" s="373">
        <v>0</v>
      </c>
      <c r="CS29" s="373">
        <v>0</v>
      </c>
      <c r="CT29" s="373">
        <v>0</v>
      </c>
      <c r="CU29" s="373">
        <v>0</v>
      </c>
      <c r="CV29" s="373">
        <v>0</v>
      </c>
      <c r="CW29" s="373">
        <v>0</v>
      </c>
      <c r="CX29" s="373">
        <v>0</v>
      </c>
      <c r="CY29" s="373">
        <v>0</v>
      </c>
      <c r="CZ29" s="373">
        <v>0</v>
      </c>
      <c r="DA29" s="373">
        <v>0</v>
      </c>
      <c r="DB29" s="373">
        <v>0</v>
      </c>
      <c r="DC29" s="373">
        <v>0</v>
      </c>
      <c r="DD29" s="373">
        <v>0</v>
      </c>
      <c r="DE29" s="373">
        <v>0</v>
      </c>
      <c r="DF29" s="373">
        <v>0</v>
      </c>
      <c r="DG29" s="373">
        <v>0</v>
      </c>
      <c r="DH29" s="373">
        <v>0</v>
      </c>
      <c r="DI29" s="373">
        <v>0</v>
      </c>
      <c r="DJ29" s="373">
        <v>0</v>
      </c>
      <c r="DK29" s="373">
        <v>0</v>
      </c>
      <c r="DL29" s="373">
        <v>0</v>
      </c>
      <c r="DM29" s="373">
        <v>0</v>
      </c>
      <c r="DN29" s="373">
        <v>0</v>
      </c>
      <c r="DO29" s="373">
        <v>0</v>
      </c>
      <c r="DP29" s="373">
        <v>0</v>
      </c>
      <c r="DQ29" s="373">
        <v>0</v>
      </c>
      <c r="DR29" s="373">
        <v>0</v>
      </c>
      <c r="DS29" s="365">
        <v>0</v>
      </c>
      <c r="DT29" s="374">
        <f t="shared" si="24"/>
        <v>81990.306000000011</v>
      </c>
      <c r="DU29" s="375">
        <f t="shared" si="25"/>
        <v>0</v>
      </c>
      <c r="DV29" s="376"/>
      <c r="DW29" s="138" t="b">
        <f t="shared" si="26"/>
        <v>1</v>
      </c>
    </row>
    <row r="30" spans="1:127" s="138" customFormat="1" ht="12" customHeight="1">
      <c r="A30" s="169" t="s">
        <v>336</v>
      </c>
      <c r="B30" s="170"/>
      <c r="C30" s="171" t="s">
        <v>280</v>
      </c>
      <c r="D30" s="171"/>
      <c r="E30" s="365">
        <f t="shared" si="27"/>
        <v>74.010000000000005</v>
      </c>
      <c r="F30" s="365">
        <f t="shared" si="28"/>
        <v>1.08</v>
      </c>
      <c r="G30" s="365">
        <f t="shared" si="16"/>
        <v>75.09</v>
      </c>
      <c r="H30" s="365">
        <f t="shared" si="29"/>
        <v>9.06</v>
      </c>
      <c r="I30" s="365">
        <f t="shared" si="30"/>
        <v>149.1</v>
      </c>
      <c r="J30" s="366">
        <f t="shared" si="17"/>
        <v>1350.846</v>
      </c>
      <c r="K30" s="377" t="s">
        <v>337</v>
      </c>
      <c r="L30" s="378" t="s">
        <v>309</v>
      </c>
      <c r="M30" s="365">
        <v>6000</v>
      </c>
      <c r="N30" s="379">
        <f t="shared" si="31"/>
        <v>994</v>
      </c>
      <c r="O30" s="369">
        <f t="shared" si="18"/>
        <v>81990.306000000011</v>
      </c>
      <c r="P30" s="370">
        <f t="shared" si="19"/>
        <v>1091.8938074310829</v>
      </c>
      <c r="Q30" s="172">
        <v>0.01</v>
      </c>
      <c r="R30" s="371">
        <f t="shared" si="20"/>
        <v>819.9030600000001</v>
      </c>
      <c r="S30" s="172">
        <v>0.04</v>
      </c>
      <c r="T30" s="371">
        <f t="shared" si="21"/>
        <v>3279.6122400000004</v>
      </c>
      <c r="U30" s="372">
        <f t="shared" si="22"/>
        <v>5</v>
      </c>
      <c r="V30" s="172">
        <v>0.95</v>
      </c>
      <c r="W30" s="371">
        <f t="shared" si="23"/>
        <v>77890.790700000012</v>
      </c>
      <c r="X30" s="373"/>
      <c r="Y30" s="373"/>
      <c r="Z30" s="373"/>
      <c r="AA30" s="373"/>
      <c r="AB30" s="373"/>
      <c r="AD30" s="373"/>
      <c r="AE30" s="373">
        <f>+$R30</f>
        <v>819.9030600000001</v>
      </c>
      <c r="AF30" s="373">
        <f>+$T30/5</f>
        <v>655.92244800000003</v>
      </c>
      <c r="AG30" s="373">
        <f>+AF30</f>
        <v>655.92244800000003</v>
      </c>
      <c r="AH30" s="373">
        <f>+AG30</f>
        <v>655.92244800000003</v>
      </c>
      <c r="AI30" s="373">
        <f>+AH30</f>
        <v>655.92244800000003</v>
      </c>
      <c r="AJ30" s="373">
        <f>+AI30</f>
        <v>655.92244800000003</v>
      </c>
      <c r="AK30" s="373">
        <f>+$W30</f>
        <v>77890.790700000012</v>
      </c>
      <c r="AL30" s="373">
        <v>0</v>
      </c>
      <c r="AM30" s="373">
        <v>0</v>
      </c>
      <c r="AN30" s="373">
        <v>0</v>
      </c>
      <c r="AO30" s="373">
        <v>0</v>
      </c>
      <c r="AP30" s="373">
        <v>0</v>
      </c>
      <c r="AQ30" s="373">
        <v>0</v>
      </c>
      <c r="AR30" s="373">
        <v>0</v>
      </c>
      <c r="AS30" s="373">
        <v>0</v>
      </c>
      <c r="AT30" s="373">
        <v>0</v>
      </c>
      <c r="AU30" s="373">
        <v>0</v>
      </c>
      <c r="AV30" s="373">
        <v>0</v>
      </c>
      <c r="AW30" s="373">
        <v>0</v>
      </c>
      <c r="AX30" s="373">
        <v>0</v>
      </c>
      <c r="AY30" s="373">
        <v>0</v>
      </c>
      <c r="AZ30" s="373">
        <v>0</v>
      </c>
      <c r="BA30" s="373">
        <v>0</v>
      </c>
      <c r="BB30" s="373">
        <v>0</v>
      </c>
      <c r="BC30" s="373">
        <v>0</v>
      </c>
      <c r="BD30" s="373">
        <v>0</v>
      </c>
      <c r="BE30" s="373">
        <v>0</v>
      </c>
      <c r="BF30" s="373">
        <v>0</v>
      </c>
      <c r="BG30" s="373">
        <v>0</v>
      </c>
      <c r="BH30" s="373">
        <v>0</v>
      </c>
      <c r="BI30" s="373">
        <v>0</v>
      </c>
      <c r="BJ30" s="373">
        <v>0</v>
      </c>
      <c r="BK30" s="373">
        <v>0</v>
      </c>
      <c r="BL30" s="373">
        <v>0</v>
      </c>
      <c r="BM30" s="373">
        <v>0</v>
      </c>
      <c r="BN30" s="373">
        <v>0</v>
      </c>
      <c r="BO30" s="373">
        <v>0</v>
      </c>
      <c r="BP30" s="373">
        <v>0</v>
      </c>
      <c r="BQ30" s="373">
        <v>0</v>
      </c>
      <c r="BR30" s="373">
        <v>0</v>
      </c>
      <c r="BS30" s="373">
        <v>0</v>
      </c>
      <c r="BT30" s="373">
        <v>0</v>
      </c>
      <c r="BU30" s="373">
        <v>0</v>
      </c>
      <c r="BV30" s="373">
        <v>0</v>
      </c>
      <c r="BW30" s="373">
        <v>0</v>
      </c>
      <c r="BX30" s="373">
        <v>0</v>
      </c>
      <c r="BY30" s="373">
        <v>0</v>
      </c>
      <c r="BZ30" s="373">
        <v>0</v>
      </c>
      <c r="CA30" s="373">
        <v>0</v>
      </c>
      <c r="CB30" s="373">
        <v>0</v>
      </c>
      <c r="CC30" s="373">
        <v>0</v>
      </c>
      <c r="CD30" s="373">
        <v>0</v>
      </c>
      <c r="CE30" s="373">
        <v>0</v>
      </c>
      <c r="CF30" s="373">
        <v>0</v>
      </c>
      <c r="CG30" s="373">
        <v>0</v>
      </c>
      <c r="CH30" s="373">
        <v>0</v>
      </c>
      <c r="CI30" s="373">
        <v>0</v>
      </c>
      <c r="CJ30" s="373">
        <v>0</v>
      </c>
      <c r="CK30" s="373">
        <v>0</v>
      </c>
      <c r="CL30" s="373">
        <v>0</v>
      </c>
      <c r="CM30" s="373">
        <v>0</v>
      </c>
      <c r="CN30" s="373">
        <v>0</v>
      </c>
      <c r="CO30" s="373">
        <v>0</v>
      </c>
      <c r="CP30" s="373">
        <v>0</v>
      </c>
      <c r="CQ30" s="373">
        <v>0</v>
      </c>
      <c r="CR30" s="373">
        <v>0</v>
      </c>
      <c r="CS30" s="373">
        <v>0</v>
      </c>
      <c r="CT30" s="373">
        <v>0</v>
      </c>
      <c r="CU30" s="373">
        <v>0</v>
      </c>
      <c r="CV30" s="373">
        <v>0</v>
      </c>
      <c r="CW30" s="373">
        <v>0</v>
      </c>
      <c r="CX30" s="373">
        <v>0</v>
      </c>
      <c r="CY30" s="373">
        <v>0</v>
      </c>
      <c r="CZ30" s="373">
        <v>0</v>
      </c>
      <c r="DA30" s="373">
        <v>0</v>
      </c>
      <c r="DB30" s="373">
        <v>0</v>
      </c>
      <c r="DC30" s="373">
        <v>0</v>
      </c>
      <c r="DD30" s="373">
        <v>0</v>
      </c>
      <c r="DE30" s="373">
        <v>0</v>
      </c>
      <c r="DF30" s="373">
        <v>0</v>
      </c>
      <c r="DG30" s="373">
        <v>0</v>
      </c>
      <c r="DH30" s="373">
        <v>0</v>
      </c>
      <c r="DI30" s="373">
        <v>0</v>
      </c>
      <c r="DJ30" s="373">
        <v>0</v>
      </c>
      <c r="DK30" s="373">
        <v>0</v>
      </c>
      <c r="DL30" s="373">
        <v>0</v>
      </c>
      <c r="DM30" s="373">
        <v>0</v>
      </c>
      <c r="DN30" s="373">
        <v>0</v>
      </c>
      <c r="DO30" s="373">
        <v>0</v>
      </c>
      <c r="DP30" s="373">
        <v>0</v>
      </c>
      <c r="DQ30" s="373">
        <v>0</v>
      </c>
      <c r="DR30" s="373">
        <v>0</v>
      </c>
      <c r="DS30" s="365">
        <v>0</v>
      </c>
      <c r="DT30" s="374">
        <f t="shared" si="24"/>
        <v>81990.306000000011</v>
      </c>
      <c r="DU30" s="375">
        <f t="shared" si="25"/>
        <v>0</v>
      </c>
      <c r="DV30" s="376"/>
      <c r="DW30" s="138" t="b">
        <f t="shared" si="26"/>
        <v>1</v>
      </c>
    </row>
    <row r="31" spans="1:127" s="138" customFormat="1" ht="12" customHeight="1">
      <c r="A31" s="169" t="s">
        <v>338</v>
      </c>
      <c r="B31" s="170"/>
      <c r="C31" s="171" t="s">
        <v>280</v>
      </c>
      <c r="D31" s="171"/>
      <c r="E31" s="365">
        <f t="shared" si="27"/>
        <v>74.010000000000005</v>
      </c>
      <c r="F31" s="365">
        <f t="shared" si="28"/>
        <v>1.08</v>
      </c>
      <c r="G31" s="365">
        <f t="shared" si="16"/>
        <v>75.09</v>
      </c>
      <c r="H31" s="365">
        <f t="shared" si="29"/>
        <v>9.06</v>
      </c>
      <c r="I31" s="365">
        <f t="shared" si="30"/>
        <v>149.1</v>
      </c>
      <c r="J31" s="366">
        <f t="shared" si="17"/>
        <v>1350.846</v>
      </c>
      <c r="K31" s="377" t="s">
        <v>339</v>
      </c>
      <c r="L31" s="378" t="s">
        <v>309</v>
      </c>
      <c r="M31" s="365">
        <v>6000</v>
      </c>
      <c r="N31" s="379">
        <f t="shared" si="31"/>
        <v>994</v>
      </c>
      <c r="O31" s="369">
        <f t="shared" si="18"/>
        <v>81990.306000000011</v>
      </c>
      <c r="P31" s="370">
        <f t="shared" si="19"/>
        <v>1091.8938074310829</v>
      </c>
      <c r="Q31" s="172">
        <v>0.01</v>
      </c>
      <c r="R31" s="371">
        <f t="shared" si="20"/>
        <v>819.9030600000001</v>
      </c>
      <c r="S31" s="172">
        <v>0.04</v>
      </c>
      <c r="T31" s="371">
        <f t="shared" si="21"/>
        <v>3279.6122400000004</v>
      </c>
      <c r="U31" s="372">
        <f t="shared" si="22"/>
        <v>3</v>
      </c>
      <c r="V31" s="172">
        <v>0.95</v>
      </c>
      <c r="W31" s="371">
        <f t="shared" si="23"/>
        <v>77890.790700000012</v>
      </c>
      <c r="X31" s="373"/>
      <c r="Y31" s="373"/>
      <c r="Z31" s="373"/>
      <c r="AA31" s="373"/>
      <c r="AB31" s="373"/>
      <c r="AC31" s="373"/>
      <c r="AD31" s="373"/>
      <c r="AE31" s="373">
        <f>+$R31</f>
        <v>819.9030600000001</v>
      </c>
      <c r="AF31" s="373">
        <f>+$T31/3</f>
        <v>1093.2040800000002</v>
      </c>
      <c r="AG31" s="373">
        <f>+AF31</f>
        <v>1093.2040800000002</v>
      </c>
      <c r="AH31" s="373">
        <f>+AG31</f>
        <v>1093.2040800000002</v>
      </c>
      <c r="AI31" s="373">
        <f>+$W31</f>
        <v>77890.790700000012</v>
      </c>
      <c r="AJ31" s="373">
        <v>0</v>
      </c>
      <c r="AK31" s="373">
        <v>0</v>
      </c>
      <c r="AL31" s="373">
        <v>0</v>
      </c>
      <c r="AM31" s="373">
        <v>0</v>
      </c>
      <c r="AN31" s="373">
        <v>0</v>
      </c>
      <c r="AO31" s="373">
        <v>0</v>
      </c>
      <c r="AP31" s="373">
        <v>0</v>
      </c>
      <c r="AQ31" s="373">
        <v>0</v>
      </c>
      <c r="AR31" s="373">
        <v>0</v>
      </c>
      <c r="AS31" s="373">
        <v>0</v>
      </c>
      <c r="AT31" s="373">
        <v>0</v>
      </c>
      <c r="AU31" s="373">
        <v>0</v>
      </c>
      <c r="AV31" s="373">
        <v>0</v>
      </c>
      <c r="AW31" s="373">
        <v>0</v>
      </c>
      <c r="AX31" s="373">
        <v>0</v>
      </c>
      <c r="AY31" s="373">
        <v>0</v>
      </c>
      <c r="AZ31" s="373">
        <v>0</v>
      </c>
      <c r="BA31" s="373">
        <v>0</v>
      </c>
      <c r="BB31" s="373">
        <v>0</v>
      </c>
      <c r="BC31" s="373">
        <v>0</v>
      </c>
      <c r="BD31" s="373">
        <v>0</v>
      </c>
      <c r="BE31" s="373">
        <v>0</v>
      </c>
      <c r="BF31" s="373">
        <v>0</v>
      </c>
      <c r="BG31" s="373">
        <v>0</v>
      </c>
      <c r="BH31" s="373">
        <v>0</v>
      </c>
      <c r="BI31" s="373">
        <v>0</v>
      </c>
      <c r="BJ31" s="373">
        <v>0</v>
      </c>
      <c r="BK31" s="373">
        <v>0</v>
      </c>
      <c r="BL31" s="373">
        <v>0</v>
      </c>
      <c r="BM31" s="373">
        <v>0</v>
      </c>
      <c r="BN31" s="373">
        <v>0</v>
      </c>
      <c r="BO31" s="373">
        <v>0</v>
      </c>
      <c r="BP31" s="373">
        <v>0</v>
      </c>
      <c r="BQ31" s="373">
        <v>0</v>
      </c>
      <c r="BR31" s="373">
        <v>0</v>
      </c>
      <c r="BS31" s="373">
        <v>0</v>
      </c>
      <c r="BT31" s="373">
        <v>0</v>
      </c>
      <c r="BU31" s="373">
        <v>0</v>
      </c>
      <c r="BV31" s="373">
        <v>0</v>
      </c>
      <c r="BW31" s="373">
        <v>0</v>
      </c>
      <c r="BX31" s="373">
        <v>0</v>
      </c>
      <c r="BY31" s="373">
        <v>0</v>
      </c>
      <c r="BZ31" s="373">
        <v>0</v>
      </c>
      <c r="CA31" s="373">
        <v>0</v>
      </c>
      <c r="CB31" s="373">
        <v>0</v>
      </c>
      <c r="CC31" s="373">
        <v>0</v>
      </c>
      <c r="CD31" s="373">
        <v>0</v>
      </c>
      <c r="CE31" s="373">
        <v>0</v>
      </c>
      <c r="CF31" s="373">
        <v>0</v>
      </c>
      <c r="CG31" s="373">
        <v>0</v>
      </c>
      <c r="CH31" s="373">
        <v>0</v>
      </c>
      <c r="CI31" s="373">
        <v>0</v>
      </c>
      <c r="CJ31" s="373">
        <v>0</v>
      </c>
      <c r="CK31" s="373">
        <v>0</v>
      </c>
      <c r="CL31" s="373">
        <v>0</v>
      </c>
      <c r="CM31" s="373">
        <v>0</v>
      </c>
      <c r="CN31" s="373">
        <v>0</v>
      </c>
      <c r="CO31" s="373">
        <v>0</v>
      </c>
      <c r="CP31" s="373">
        <v>0</v>
      </c>
      <c r="CQ31" s="373">
        <v>0</v>
      </c>
      <c r="CR31" s="373">
        <v>0</v>
      </c>
      <c r="CS31" s="373">
        <v>0</v>
      </c>
      <c r="CT31" s="373">
        <v>0</v>
      </c>
      <c r="CU31" s="373">
        <v>0</v>
      </c>
      <c r="CV31" s="373">
        <v>0</v>
      </c>
      <c r="CW31" s="373">
        <v>0</v>
      </c>
      <c r="CX31" s="373">
        <v>0</v>
      </c>
      <c r="CY31" s="373">
        <v>0</v>
      </c>
      <c r="CZ31" s="373">
        <v>0</v>
      </c>
      <c r="DA31" s="373">
        <v>0</v>
      </c>
      <c r="DB31" s="373">
        <v>0</v>
      </c>
      <c r="DC31" s="373">
        <v>0</v>
      </c>
      <c r="DD31" s="373">
        <v>0</v>
      </c>
      <c r="DE31" s="373">
        <v>0</v>
      </c>
      <c r="DF31" s="373">
        <v>0</v>
      </c>
      <c r="DG31" s="373">
        <v>0</v>
      </c>
      <c r="DH31" s="373">
        <v>0</v>
      </c>
      <c r="DI31" s="373">
        <v>0</v>
      </c>
      <c r="DJ31" s="373">
        <v>0</v>
      </c>
      <c r="DK31" s="373">
        <v>0</v>
      </c>
      <c r="DL31" s="373">
        <v>0</v>
      </c>
      <c r="DM31" s="373">
        <v>0</v>
      </c>
      <c r="DN31" s="373">
        <v>0</v>
      </c>
      <c r="DO31" s="373">
        <v>0</v>
      </c>
      <c r="DP31" s="373">
        <v>0</v>
      </c>
      <c r="DQ31" s="373">
        <v>0</v>
      </c>
      <c r="DR31" s="373">
        <v>0</v>
      </c>
      <c r="DS31" s="365">
        <v>0</v>
      </c>
      <c r="DT31" s="374">
        <f t="shared" si="24"/>
        <v>81990.306000000011</v>
      </c>
      <c r="DU31" s="375">
        <f t="shared" si="25"/>
        <v>0</v>
      </c>
      <c r="DV31" s="376"/>
      <c r="DW31" s="138" t="b">
        <f t="shared" si="26"/>
        <v>1</v>
      </c>
    </row>
    <row r="32" spans="1:127" s="138" customFormat="1" ht="12" customHeight="1">
      <c r="A32" s="169" t="s">
        <v>340</v>
      </c>
      <c r="B32" s="170"/>
      <c r="C32" s="171" t="s">
        <v>280</v>
      </c>
      <c r="D32" s="171"/>
      <c r="E32" s="365">
        <f t="shared" si="27"/>
        <v>74.010000000000005</v>
      </c>
      <c r="F32" s="365">
        <f t="shared" si="28"/>
        <v>1.08</v>
      </c>
      <c r="G32" s="365">
        <f t="shared" si="16"/>
        <v>75.09</v>
      </c>
      <c r="H32" s="365">
        <f t="shared" si="29"/>
        <v>9.06</v>
      </c>
      <c r="I32" s="365">
        <f t="shared" si="30"/>
        <v>149.1</v>
      </c>
      <c r="J32" s="366">
        <f t="shared" si="17"/>
        <v>1350.846</v>
      </c>
      <c r="K32" s="377" t="s">
        <v>341</v>
      </c>
      <c r="L32" s="378" t="s">
        <v>309</v>
      </c>
      <c r="M32" s="365">
        <v>6000</v>
      </c>
      <c r="N32" s="379">
        <f t="shared" si="31"/>
        <v>994</v>
      </c>
      <c r="O32" s="369">
        <f t="shared" si="18"/>
        <v>81990.306000000011</v>
      </c>
      <c r="P32" s="370">
        <f t="shared" si="19"/>
        <v>1091.8938074310829</v>
      </c>
      <c r="Q32" s="172">
        <v>0.01</v>
      </c>
      <c r="R32" s="371">
        <f t="shared" si="20"/>
        <v>819.9030600000001</v>
      </c>
      <c r="S32" s="172">
        <v>0.04</v>
      </c>
      <c r="T32" s="371">
        <f t="shared" si="21"/>
        <v>3279.6122400000004</v>
      </c>
      <c r="U32" s="372">
        <f t="shared" si="22"/>
        <v>5</v>
      </c>
      <c r="V32" s="172">
        <v>0.95</v>
      </c>
      <c r="W32" s="371">
        <f t="shared" si="23"/>
        <v>77890.790700000012</v>
      </c>
      <c r="X32" s="373"/>
      <c r="Y32" s="373"/>
      <c r="Z32" s="373"/>
      <c r="AA32" s="373"/>
      <c r="AB32" s="373"/>
      <c r="AC32" s="373"/>
      <c r="AD32" s="373"/>
      <c r="AE32" s="373"/>
      <c r="AF32" s="373">
        <f>+$R32</f>
        <v>819.9030600000001</v>
      </c>
      <c r="AG32" s="373">
        <f>+$T32/5</f>
        <v>655.92244800000003</v>
      </c>
      <c r="AH32" s="373">
        <f>+AG32</f>
        <v>655.92244800000003</v>
      </c>
      <c r="AI32" s="373">
        <f>+AH32</f>
        <v>655.92244800000003</v>
      </c>
      <c r="AJ32" s="373">
        <f>+AI32</f>
        <v>655.92244800000003</v>
      </c>
      <c r="AK32" s="373">
        <f>+AJ32</f>
        <v>655.92244800000003</v>
      </c>
      <c r="AL32" s="373">
        <f>+$W32</f>
        <v>77890.790700000012</v>
      </c>
      <c r="AM32" s="373">
        <v>0</v>
      </c>
      <c r="AN32" s="373">
        <v>0</v>
      </c>
      <c r="AO32" s="373">
        <v>0</v>
      </c>
      <c r="AP32" s="373">
        <v>0</v>
      </c>
      <c r="AQ32" s="373">
        <v>0</v>
      </c>
      <c r="AR32" s="373">
        <v>0</v>
      </c>
      <c r="AS32" s="373">
        <v>0</v>
      </c>
      <c r="AT32" s="373">
        <v>0</v>
      </c>
      <c r="AU32" s="373">
        <v>0</v>
      </c>
      <c r="AV32" s="373">
        <v>0</v>
      </c>
      <c r="AW32" s="373">
        <v>0</v>
      </c>
      <c r="AX32" s="373">
        <v>0</v>
      </c>
      <c r="AY32" s="373">
        <v>0</v>
      </c>
      <c r="AZ32" s="373">
        <v>0</v>
      </c>
      <c r="BA32" s="373">
        <v>0</v>
      </c>
      <c r="BB32" s="373">
        <v>0</v>
      </c>
      <c r="BC32" s="373">
        <v>0</v>
      </c>
      <c r="BD32" s="373">
        <v>0</v>
      </c>
      <c r="BE32" s="373">
        <v>0</v>
      </c>
      <c r="BF32" s="373">
        <v>0</v>
      </c>
      <c r="BG32" s="373">
        <v>0</v>
      </c>
      <c r="BH32" s="373">
        <v>0</v>
      </c>
      <c r="BI32" s="373">
        <v>0</v>
      </c>
      <c r="BJ32" s="373">
        <v>0</v>
      </c>
      <c r="BK32" s="373">
        <v>0</v>
      </c>
      <c r="BL32" s="373">
        <v>0</v>
      </c>
      <c r="BM32" s="373">
        <v>0</v>
      </c>
      <c r="BN32" s="373">
        <v>0</v>
      </c>
      <c r="BO32" s="373">
        <v>0</v>
      </c>
      <c r="BP32" s="373">
        <v>0</v>
      </c>
      <c r="BQ32" s="373">
        <v>0</v>
      </c>
      <c r="BR32" s="373">
        <v>0</v>
      </c>
      <c r="BS32" s="373">
        <v>0</v>
      </c>
      <c r="BT32" s="373">
        <v>0</v>
      </c>
      <c r="BU32" s="373">
        <v>0</v>
      </c>
      <c r="BV32" s="373">
        <v>0</v>
      </c>
      <c r="BW32" s="373">
        <v>0</v>
      </c>
      <c r="BX32" s="373">
        <v>0</v>
      </c>
      <c r="BY32" s="373">
        <v>0</v>
      </c>
      <c r="BZ32" s="373">
        <v>0</v>
      </c>
      <c r="CA32" s="373">
        <v>0</v>
      </c>
      <c r="CB32" s="373">
        <v>0</v>
      </c>
      <c r="CC32" s="373">
        <v>0</v>
      </c>
      <c r="CD32" s="373">
        <v>0</v>
      </c>
      <c r="CE32" s="373">
        <v>0</v>
      </c>
      <c r="CF32" s="373">
        <v>0</v>
      </c>
      <c r="CG32" s="373">
        <v>0</v>
      </c>
      <c r="CH32" s="373">
        <v>0</v>
      </c>
      <c r="CI32" s="373">
        <v>0</v>
      </c>
      <c r="CJ32" s="373">
        <v>0</v>
      </c>
      <c r="CK32" s="373">
        <v>0</v>
      </c>
      <c r="CL32" s="373">
        <v>0</v>
      </c>
      <c r="CM32" s="373">
        <v>0</v>
      </c>
      <c r="CN32" s="373">
        <v>0</v>
      </c>
      <c r="CO32" s="373">
        <v>0</v>
      </c>
      <c r="CP32" s="373">
        <v>0</v>
      </c>
      <c r="CQ32" s="373">
        <v>0</v>
      </c>
      <c r="CR32" s="373">
        <v>0</v>
      </c>
      <c r="CS32" s="373">
        <v>0</v>
      </c>
      <c r="CT32" s="373">
        <v>0</v>
      </c>
      <c r="CU32" s="373">
        <v>0</v>
      </c>
      <c r="CV32" s="373">
        <v>0</v>
      </c>
      <c r="CW32" s="373">
        <v>0</v>
      </c>
      <c r="CX32" s="373">
        <v>0</v>
      </c>
      <c r="CY32" s="373">
        <v>0</v>
      </c>
      <c r="CZ32" s="373">
        <v>0</v>
      </c>
      <c r="DA32" s="373">
        <v>0</v>
      </c>
      <c r="DB32" s="373">
        <v>0</v>
      </c>
      <c r="DC32" s="373">
        <v>0</v>
      </c>
      <c r="DD32" s="373">
        <v>0</v>
      </c>
      <c r="DE32" s="373">
        <v>0</v>
      </c>
      <c r="DF32" s="373">
        <v>0</v>
      </c>
      <c r="DG32" s="373">
        <v>0</v>
      </c>
      <c r="DH32" s="373">
        <v>0</v>
      </c>
      <c r="DI32" s="373">
        <v>0</v>
      </c>
      <c r="DJ32" s="373">
        <v>0</v>
      </c>
      <c r="DK32" s="373">
        <v>0</v>
      </c>
      <c r="DL32" s="373">
        <v>0</v>
      </c>
      <c r="DM32" s="373">
        <v>0</v>
      </c>
      <c r="DN32" s="373">
        <v>0</v>
      </c>
      <c r="DO32" s="373">
        <v>0</v>
      </c>
      <c r="DP32" s="373">
        <v>0</v>
      </c>
      <c r="DQ32" s="373">
        <v>0</v>
      </c>
      <c r="DR32" s="373">
        <v>0</v>
      </c>
      <c r="DS32" s="365">
        <v>0</v>
      </c>
      <c r="DT32" s="374">
        <f t="shared" si="24"/>
        <v>81990.306000000011</v>
      </c>
      <c r="DU32" s="375">
        <f t="shared" si="25"/>
        <v>0</v>
      </c>
      <c r="DV32" s="376"/>
      <c r="DW32" s="138" t="b">
        <f t="shared" si="26"/>
        <v>1</v>
      </c>
    </row>
    <row r="33" spans="1:127" s="138" customFormat="1" ht="12" customHeight="1">
      <c r="A33" s="169" t="s">
        <v>342</v>
      </c>
      <c r="B33" s="170"/>
      <c r="C33" s="171" t="s">
        <v>280</v>
      </c>
      <c r="D33" s="171"/>
      <c r="E33" s="365">
        <f t="shared" si="27"/>
        <v>74.010000000000005</v>
      </c>
      <c r="F33" s="365">
        <f t="shared" si="28"/>
        <v>1.08</v>
      </c>
      <c r="G33" s="365">
        <f t="shared" si="16"/>
        <v>75.09</v>
      </c>
      <c r="H33" s="365">
        <f t="shared" si="29"/>
        <v>9.06</v>
      </c>
      <c r="I33" s="365">
        <f t="shared" si="30"/>
        <v>149.1</v>
      </c>
      <c r="J33" s="366">
        <f t="shared" si="17"/>
        <v>1350.846</v>
      </c>
      <c r="K33" s="377" t="s">
        <v>343</v>
      </c>
      <c r="L33" s="378" t="s">
        <v>309</v>
      </c>
      <c r="M33" s="365">
        <v>6000</v>
      </c>
      <c r="N33" s="379">
        <f t="shared" si="31"/>
        <v>994</v>
      </c>
      <c r="O33" s="369">
        <f t="shared" si="18"/>
        <v>81990.306000000011</v>
      </c>
      <c r="P33" s="370">
        <f t="shared" si="19"/>
        <v>1091.8938074310829</v>
      </c>
      <c r="Q33" s="172">
        <v>0.01</v>
      </c>
      <c r="R33" s="371">
        <f t="shared" si="20"/>
        <v>819.9030600000001</v>
      </c>
      <c r="S33" s="172">
        <v>0.04</v>
      </c>
      <c r="T33" s="371">
        <f t="shared" si="21"/>
        <v>3279.6122400000004</v>
      </c>
      <c r="U33" s="372">
        <f t="shared" si="22"/>
        <v>3</v>
      </c>
      <c r="V33" s="172">
        <v>0.95</v>
      </c>
      <c r="W33" s="371">
        <f t="shared" si="23"/>
        <v>77890.790700000012</v>
      </c>
      <c r="X33" s="373"/>
      <c r="Y33" s="373"/>
      <c r="Z33" s="373"/>
      <c r="AA33" s="373"/>
      <c r="AB33" s="373"/>
      <c r="AC33" s="373"/>
      <c r="AD33" s="373"/>
      <c r="AE33" s="373"/>
      <c r="AF33" s="373">
        <f>+$R33</f>
        <v>819.9030600000001</v>
      </c>
      <c r="AG33" s="373">
        <f>+$T33/3</f>
        <v>1093.2040800000002</v>
      </c>
      <c r="AH33" s="373">
        <f>+AG33</f>
        <v>1093.2040800000002</v>
      </c>
      <c r="AI33" s="373">
        <f>+AH33</f>
        <v>1093.2040800000002</v>
      </c>
      <c r="AJ33" s="373">
        <f>+$W33</f>
        <v>77890.790700000012</v>
      </c>
      <c r="AK33" s="373">
        <v>0</v>
      </c>
      <c r="AL33" s="373">
        <v>0</v>
      </c>
      <c r="AM33" s="373">
        <v>0</v>
      </c>
      <c r="AN33" s="373">
        <v>0</v>
      </c>
      <c r="AO33" s="373">
        <v>0</v>
      </c>
      <c r="AP33" s="373">
        <v>0</v>
      </c>
      <c r="AQ33" s="373">
        <v>0</v>
      </c>
      <c r="AR33" s="373">
        <v>0</v>
      </c>
      <c r="AS33" s="373">
        <v>0</v>
      </c>
      <c r="AT33" s="373">
        <v>0</v>
      </c>
      <c r="AU33" s="373">
        <v>0</v>
      </c>
      <c r="AV33" s="373">
        <v>0</v>
      </c>
      <c r="AW33" s="373">
        <v>0</v>
      </c>
      <c r="AX33" s="373">
        <v>0</v>
      </c>
      <c r="AY33" s="373">
        <v>0</v>
      </c>
      <c r="AZ33" s="373">
        <v>0</v>
      </c>
      <c r="BA33" s="373">
        <v>0</v>
      </c>
      <c r="BB33" s="373">
        <v>0</v>
      </c>
      <c r="BC33" s="373">
        <v>0</v>
      </c>
      <c r="BD33" s="373">
        <v>0</v>
      </c>
      <c r="BE33" s="373">
        <v>0</v>
      </c>
      <c r="BF33" s="373">
        <v>0</v>
      </c>
      <c r="BG33" s="373">
        <v>0</v>
      </c>
      <c r="BH33" s="373">
        <v>0</v>
      </c>
      <c r="BI33" s="373">
        <v>0</v>
      </c>
      <c r="BJ33" s="373">
        <v>0</v>
      </c>
      <c r="BK33" s="373">
        <v>0</v>
      </c>
      <c r="BL33" s="373">
        <v>0</v>
      </c>
      <c r="BM33" s="373">
        <v>0</v>
      </c>
      <c r="BN33" s="373">
        <v>0</v>
      </c>
      <c r="BO33" s="373">
        <v>0</v>
      </c>
      <c r="BP33" s="373">
        <v>0</v>
      </c>
      <c r="BQ33" s="373">
        <v>0</v>
      </c>
      <c r="BR33" s="373">
        <v>0</v>
      </c>
      <c r="BS33" s="373">
        <v>0</v>
      </c>
      <c r="BT33" s="373">
        <v>0</v>
      </c>
      <c r="BU33" s="373">
        <v>0</v>
      </c>
      <c r="BV33" s="373">
        <v>0</v>
      </c>
      <c r="BW33" s="373">
        <v>0</v>
      </c>
      <c r="BX33" s="373">
        <v>0</v>
      </c>
      <c r="BY33" s="373">
        <v>0</v>
      </c>
      <c r="BZ33" s="373">
        <v>0</v>
      </c>
      <c r="CA33" s="373">
        <v>0</v>
      </c>
      <c r="CB33" s="373">
        <v>0</v>
      </c>
      <c r="CC33" s="373">
        <v>0</v>
      </c>
      <c r="CD33" s="373">
        <v>0</v>
      </c>
      <c r="CE33" s="373">
        <v>0</v>
      </c>
      <c r="CF33" s="373">
        <v>0</v>
      </c>
      <c r="CG33" s="373">
        <v>0</v>
      </c>
      <c r="CH33" s="373">
        <v>0</v>
      </c>
      <c r="CI33" s="373">
        <v>0</v>
      </c>
      <c r="CJ33" s="373">
        <v>0</v>
      </c>
      <c r="CK33" s="373">
        <v>0</v>
      </c>
      <c r="CL33" s="373">
        <v>0</v>
      </c>
      <c r="CM33" s="373">
        <v>0</v>
      </c>
      <c r="CN33" s="373">
        <v>0</v>
      </c>
      <c r="CO33" s="373">
        <v>0</v>
      </c>
      <c r="CP33" s="373">
        <v>0</v>
      </c>
      <c r="CQ33" s="373">
        <v>0</v>
      </c>
      <c r="CR33" s="373">
        <v>0</v>
      </c>
      <c r="CS33" s="373">
        <v>0</v>
      </c>
      <c r="CT33" s="373">
        <v>0</v>
      </c>
      <c r="CU33" s="373">
        <v>0</v>
      </c>
      <c r="CV33" s="373">
        <v>0</v>
      </c>
      <c r="CW33" s="373">
        <v>0</v>
      </c>
      <c r="CX33" s="373">
        <v>0</v>
      </c>
      <c r="CY33" s="373">
        <v>0</v>
      </c>
      <c r="CZ33" s="373">
        <v>0</v>
      </c>
      <c r="DA33" s="373">
        <v>0</v>
      </c>
      <c r="DB33" s="373">
        <v>0</v>
      </c>
      <c r="DC33" s="373">
        <v>0</v>
      </c>
      <c r="DD33" s="373">
        <v>0</v>
      </c>
      <c r="DE33" s="373">
        <v>0</v>
      </c>
      <c r="DF33" s="373">
        <v>0</v>
      </c>
      <c r="DG33" s="373">
        <v>0</v>
      </c>
      <c r="DH33" s="373">
        <v>0</v>
      </c>
      <c r="DI33" s="373">
        <v>0</v>
      </c>
      <c r="DJ33" s="373">
        <v>0</v>
      </c>
      <c r="DK33" s="373">
        <v>0</v>
      </c>
      <c r="DL33" s="373">
        <v>0</v>
      </c>
      <c r="DM33" s="373">
        <v>0</v>
      </c>
      <c r="DN33" s="373">
        <v>0</v>
      </c>
      <c r="DO33" s="373">
        <v>0</v>
      </c>
      <c r="DP33" s="373">
        <v>0</v>
      </c>
      <c r="DQ33" s="373">
        <v>0</v>
      </c>
      <c r="DR33" s="373">
        <v>0</v>
      </c>
      <c r="DS33" s="365">
        <v>0</v>
      </c>
      <c r="DT33" s="374">
        <f t="shared" si="24"/>
        <v>81990.306000000011</v>
      </c>
      <c r="DU33" s="375">
        <f t="shared" si="25"/>
        <v>0</v>
      </c>
      <c r="DV33" s="376"/>
      <c r="DW33" s="138" t="b">
        <f t="shared" si="26"/>
        <v>1</v>
      </c>
    </row>
    <row r="34" spans="1:127" s="138" customFormat="1" ht="12" customHeight="1">
      <c r="A34" s="169" t="s">
        <v>344</v>
      </c>
      <c r="B34" s="170"/>
      <c r="C34" s="171" t="s">
        <v>280</v>
      </c>
      <c r="D34" s="171"/>
      <c r="E34" s="365">
        <f t="shared" si="27"/>
        <v>74.010000000000005</v>
      </c>
      <c r="F34" s="365">
        <f>$F$33</f>
        <v>1.08</v>
      </c>
      <c r="G34" s="365">
        <f t="shared" si="16"/>
        <v>75.09</v>
      </c>
      <c r="H34" s="365">
        <f t="shared" si="29"/>
        <v>9.06</v>
      </c>
      <c r="I34" s="365">
        <f t="shared" si="30"/>
        <v>149.1</v>
      </c>
      <c r="J34" s="366">
        <f t="shared" si="17"/>
        <v>1350.846</v>
      </c>
      <c r="K34" s="377" t="s">
        <v>345</v>
      </c>
      <c r="L34" s="378" t="s">
        <v>309</v>
      </c>
      <c r="M34" s="365">
        <v>6000</v>
      </c>
      <c r="N34" s="379">
        <f t="shared" si="31"/>
        <v>994</v>
      </c>
      <c r="O34" s="369">
        <f t="shared" si="18"/>
        <v>81990.306000000011</v>
      </c>
      <c r="P34" s="370">
        <f t="shared" si="19"/>
        <v>1091.8938074310829</v>
      </c>
      <c r="Q34" s="172">
        <v>0.01</v>
      </c>
      <c r="R34" s="371">
        <f t="shared" si="20"/>
        <v>819.9030600000001</v>
      </c>
      <c r="S34" s="172">
        <v>0.04</v>
      </c>
      <c r="T34" s="371">
        <f t="shared" si="21"/>
        <v>3279.6122400000004</v>
      </c>
      <c r="U34" s="372">
        <f t="shared" si="22"/>
        <v>5</v>
      </c>
      <c r="V34" s="172">
        <v>0.95</v>
      </c>
      <c r="W34" s="371">
        <f t="shared" si="23"/>
        <v>77890.790700000012</v>
      </c>
      <c r="X34" s="373"/>
      <c r="Y34" s="373"/>
      <c r="Z34" s="373"/>
      <c r="AA34" s="373"/>
      <c r="AB34" s="373"/>
      <c r="AC34" s="373"/>
      <c r="AD34" s="373"/>
      <c r="AE34" s="373"/>
      <c r="AG34" s="373">
        <f>+$R34</f>
        <v>819.9030600000001</v>
      </c>
      <c r="AH34" s="373">
        <f>+$T34/5</f>
        <v>655.92244800000003</v>
      </c>
      <c r="AI34" s="373">
        <f>+AH34</f>
        <v>655.92244800000003</v>
      </c>
      <c r="AJ34" s="373">
        <f>+AI34</f>
        <v>655.92244800000003</v>
      </c>
      <c r="AK34" s="373">
        <f>+AJ34</f>
        <v>655.92244800000003</v>
      </c>
      <c r="AL34" s="373">
        <f>+AK34</f>
        <v>655.92244800000003</v>
      </c>
      <c r="AM34" s="373">
        <f>+$W34</f>
        <v>77890.790700000012</v>
      </c>
      <c r="AN34" s="373">
        <v>0</v>
      </c>
      <c r="AO34" s="373">
        <v>0</v>
      </c>
      <c r="AP34" s="373">
        <v>0</v>
      </c>
      <c r="AQ34" s="373">
        <v>0</v>
      </c>
      <c r="AR34" s="373">
        <v>0</v>
      </c>
      <c r="AS34" s="373">
        <v>0</v>
      </c>
      <c r="AT34" s="373">
        <v>0</v>
      </c>
      <c r="AU34" s="373">
        <v>0</v>
      </c>
      <c r="AV34" s="373">
        <v>0</v>
      </c>
      <c r="AW34" s="373">
        <v>0</v>
      </c>
      <c r="AX34" s="373">
        <v>0</v>
      </c>
      <c r="AY34" s="373">
        <v>0</v>
      </c>
      <c r="AZ34" s="373">
        <v>0</v>
      </c>
      <c r="BA34" s="373">
        <v>0</v>
      </c>
      <c r="BB34" s="373">
        <v>0</v>
      </c>
      <c r="BC34" s="373">
        <v>0</v>
      </c>
      <c r="BD34" s="373">
        <v>0</v>
      </c>
      <c r="BE34" s="373">
        <v>0</v>
      </c>
      <c r="BF34" s="373">
        <v>0</v>
      </c>
      <c r="BG34" s="373">
        <v>0</v>
      </c>
      <c r="BH34" s="373">
        <v>0</v>
      </c>
      <c r="BI34" s="373">
        <v>0</v>
      </c>
      <c r="BJ34" s="373">
        <v>0</v>
      </c>
      <c r="BK34" s="373">
        <v>0</v>
      </c>
      <c r="BL34" s="373">
        <v>0</v>
      </c>
      <c r="BM34" s="373">
        <v>0</v>
      </c>
      <c r="BN34" s="373">
        <v>0</v>
      </c>
      <c r="BO34" s="373">
        <v>0</v>
      </c>
      <c r="BP34" s="373">
        <v>0</v>
      </c>
      <c r="BQ34" s="373">
        <v>0</v>
      </c>
      <c r="BR34" s="373">
        <v>0</v>
      </c>
      <c r="BS34" s="373">
        <v>0</v>
      </c>
      <c r="BT34" s="373">
        <v>0</v>
      </c>
      <c r="BU34" s="373">
        <v>0</v>
      </c>
      <c r="BV34" s="373">
        <v>0</v>
      </c>
      <c r="BW34" s="373">
        <v>0</v>
      </c>
      <c r="BX34" s="373">
        <v>0</v>
      </c>
      <c r="BY34" s="373">
        <v>0</v>
      </c>
      <c r="BZ34" s="373">
        <v>0</v>
      </c>
      <c r="CA34" s="373">
        <v>0</v>
      </c>
      <c r="CB34" s="373">
        <v>0</v>
      </c>
      <c r="CC34" s="373">
        <v>0</v>
      </c>
      <c r="CD34" s="373">
        <v>0</v>
      </c>
      <c r="CE34" s="373">
        <v>0</v>
      </c>
      <c r="CF34" s="373">
        <v>0</v>
      </c>
      <c r="CG34" s="373">
        <v>0</v>
      </c>
      <c r="CH34" s="373">
        <v>0</v>
      </c>
      <c r="CI34" s="373">
        <v>0</v>
      </c>
      <c r="CJ34" s="373">
        <v>0</v>
      </c>
      <c r="CK34" s="373">
        <v>0</v>
      </c>
      <c r="CL34" s="373">
        <v>0</v>
      </c>
      <c r="CM34" s="373">
        <v>0</v>
      </c>
      <c r="CN34" s="373">
        <v>0</v>
      </c>
      <c r="CO34" s="373">
        <v>0</v>
      </c>
      <c r="CP34" s="373">
        <v>0</v>
      </c>
      <c r="CQ34" s="373">
        <v>0</v>
      </c>
      <c r="CR34" s="373">
        <v>0</v>
      </c>
      <c r="CS34" s="373">
        <v>0</v>
      </c>
      <c r="CT34" s="373">
        <v>0</v>
      </c>
      <c r="CU34" s="373">
        <v>0</v>
      </c>
      <c r="CV34" s="373">
        <v>0</v>
      </c>
      <c r="CW34" s="373">
        <v>0</v>
      </c>
      <c r="CX34" s="373">
        <v>0</v>
      </c>
      <c r="CY34" s="373">
        <v>0</v>
      </c>
      <c r="CZ34" s="373">
        <v>0</v>
      </c>
      <c r="DA34" s="373">
        <v>0</v>
      </c>
      <c r="DB34" s="373">
        <v>0</v>
      </c>
      <c r="DC34" s="373">
        <v>0</v>
      </c>
      <c r="DD34" s="373">
        <v>0</v>
      </c>
      <c r="DE34" s="373">
        <v>0</v>
      </c>
      <c r="DF34" s="373">
        <v>0</v>
      </c>
      <c r="DG34" s="373">
        <v>0</v>
      </c>
      <c r="DH34" s="373">
        <v>0</v>
      </c>
      <c r="DI34" s="373">
        <v>0</v>
      </c>
      <c r="DJ34" s="373">
        <v>0</v>
      </c>
      <c r="DK34" s="373">
        <v>0</v>
      </c>
      <c r="DL34" s="373">
        <v>0</v>
      </c>
      <c r="DM34" s="373">
        <v>0</v>
      </c>
      <c r="DN34" s="373">
        <v>0</v>
      </c>
      <c r="DO34" s="373">
        <v>0</v>
      </c>
      <c r="DP34" s="373">
        <v>0</v>
      </c>
      <c r="DQ34" s="373">
        <v>0</v>
      </c>
      <c r="DR34" s="373">
        <v>0</v>
      </c>
      <c r="DS34" s="365">
        <v>0</v>
      </c>
      <c r="DT34" s="374">
        <f t="shared" si="24"/>
        <v>81990.306000000011</v>
      </c>
      <c r="DU34" s="375">
        <f t="shared" si="25"/>
        <v>0</v>
      </c>
      <c r="DV34" s="376"/>
      <c r="DW34" s="138" t="b">
        <f t="shared" si="26"/>
        <v>1</v>
      </c>
    </row>
    <row r="35" spans="1:127" s="138" customFormat="1" ht="12" customHeight="1">
      <c r="A35" s="169" t="s">
        <v>346</v>
      </c>
      <c r="B35" s="170"/>
      <c r="C35" s="171" t="s">
        <v>278</v>
      </c>
      <c r="D35" s="171"/>
      <c r="E35" s="383">
        <v>52.44</v>
      </c>
      <c r="F35" s="383">
        <v>1.08</v>
      </c>
      <c r="G35" s="365">
        <f t="shared" si="16"/>
        <v>53.519999999999996</v>
      </c>
      <c r="H35" s="383">
        <v>9.06</v>
      </c>
      <c r="I35" s="365">
        <f t="shared" si="30"/>
        <v>149.1</v>
      </c>
      <c r="J35" s="366">
        <f t="shared" si="17"/>
        <v>1350.846</v>
      </c>
      <c r="K35" s="377" t="s">
        <v>347</v>
      </c>
      <c r="L35" s="378" t="s">
        <v>309</v>
      </c>
      <c r="M35" s="365">
        <v>6000</v>
      </c>
      <c r="N35" s="458">
        <v>1120</v>
      </c>
      <c r="O35" s="369">
        <f t="shared" si="18"/>
        <v>67293.245999999999</v>
      </c>
      <c r="P35" s="370">
        <f t="shared" si="19"/>
        <v>1257.3476457399104</v>
      </c>
      <c r="Q35" s="172">
        <v>0.01</v>
      </c>
      <c r="R35" s="371">
        <f t="shared" si="20"/>
        <v>672.93245999999999</v>
      </c>
      <c r="S35" s="172">
        <v>0.04</v>
      </c>
      <c r="T35" s="371">
        <f t="shared" si="21"/>
        <v>2691.72984</v>
      </c>
      <c r="U35" s="372">
        <f t="shared" si="22"/>
        <v>5</v>
      </c>
      <c r="V35" s="172">
        <v>0.95</v>
      </c>
      <c r="W35" s="371">
        <f t="shared" si="23"/>
        <v>63928.583699999996</v>
      </c>
      <c r="X35" s="373">
        <f>+$R35</f>
        <v>672.93245999999999</v>
      </c>
      <c r="Y35" s="373">
        <f>+$T35/5</f>
        <v>538.34596799999997</v>
      </c>
      <c r="Z35" s="373">
        <f>+Y35</f>
        <v>538.34596799999997</v>
      </c>
      <c r="AA35" s="373">
        <f>+Z35</f>
        <v>538.34596799999997</v>
      </c>
      <c r="AB35" s="373">
        <f>+AA35</f>
        <v>538.34596799999997</v>
      </c>
      <c r="AC35" s="373">
        <f>+AB35</f>
        <v>538.34596799999997</v>
      </c>
      <c r="AD35" s="373">
        <f>+$W35</f>
        <v>63928.583699999996</v>
      </c>
      <c r="AE35" s="373">
        <v>0</v>
      </c>
      <c r="AF35" s="373">
        <v>0</v>
      </c>
      <c r="AG35" s="373">
        <v>0</v>
      </c>
      <c r="AH35" s="373">
        <v>0</v>
      </c>
      <c r="AI35" s="373">
        <v>0</v>
      </c>
      <c r="AJ35" s="373">
        <v>0</v>
      </c>
      <c r="AK35" s="373">
        <v>0</v>
      </c>
      <c r="AL35" s="373">
        <v>0</v>
      </c>
      <c r="AM35" s="373">
        <v>0</v>
      </c>
      <c r="AN35" s="373">
        <v>0</v>
      </c>
      <c r="AO35" s="373">
        <v>0</v>
      </c>
      <c r="AP35" s="373">
        <v>0</v>
      </c>
      <c r="AQ35" s="373">
        <v>0</v>
      </c>
      <c r="AR35" s="373">
        <v>0</v>
      </c>
      <c r="AS35" s="373">
        <v>0</v>
      </c>
      <c r="AT35" s="373">
        <v>0</v>
      </c>
      <c r="AU35" s="373">
        <v>0</v>
      </c>
      <c r="AV35" s="373">
        <v>0</v>
      </c>
      <c r="AW35" s="373">
        <v>0</v>
      </c>
      <c r="AX35" s="373">
        <v>0</v>
      </c>
      <c r="AY35" s="373">
        <v>0</v>
      </c>
      <c r="AZ35" s="373">
        <v>0</v>
      </c>
      <c r="BA35" s="373">
        <v>0</v>
      </c>
      <c r="BB35" s="373">
        <v>0</v>
      </c>
      <c r="BC35" s="373">
        <v>0</v>
      </c>
      <c r="BD35" s="373">
        <v>0</v>
      </c>
      <c r="BE35" s="373">
        <v>0</v>
      </c>
      <c r="BF35" s="373">
        <v>0</v>
      </c>
      <c r="BG35" s="373">
        <v>0</v>
      </c>
      <c r="BH35" s="373">
        <v>0</v>
      </c>
      <c r="BI35" s="373">
        <v>0</v>
      </c>
      <c r="BJ35" s="373">
        <v>0</v>
      </c>
      <c r="BK35" s="373">
        <v>0</v>
      </c>
      <c r="BL35" s="373">
        <v>0</v>
      </c>
      <c r="BM35" s="373">
        <v>0</v>
      </c>
      <c r="BN35" s="373">
        <v>0</v>
      </c>
      <c r="BO35" s="373">
        <v>0</v>
      </c>
      <c r="BP35" s="373">
        <v>0</v>
      </c>
      <c r="BQ35" s="373">
        <v>0</v>
      </c>
      <c r="BR35" s="373">
        <v>0</v>
      </c>
      <c r="BS35" s="373">
        <v>0</v>
      </c>
      <c r="BT35" s="373">
        <v>0</v>
      </c>
      <c r="BU35" s="373">
        <v>0</v>
      </c>
      <c r="BV35" s="373">
        <v>0</v>
      </c>
      <c r="BW35" s="373">
        <v>0</v>
      </c>
      <c r="BX35" s="373">
        <v>0</v>
      </c>
      <c r="BY35" s="373">
        <v>0</v>
      </c>
      <c r="BZ35" s="373">
        <v>0</v>
      </c>
      <c r="CA35" s="373">
        <v>0</v>
      </c>
      <c r="CB35" s="373">
        <v>0</v>
      </c>
      <c r="CC35" s="373">
        <v>0</v>
      </c>
      <c r="CD35" s="373">
        <v>0</v>
      </c>
      <c r="CE35" s="373">
        <v>0</v>
      </c>
      <c r="CF35" s="373">
        <v>0</v>
      </c>
      <c r="CG35" s="373">
        <v>0</v>
      </c>
      <c r="CH35" s="373">
        <v>0</v>
      </c>
      <c r="CI35" s="373">
        <v>0</v>
      </c>
      <c r="CJ35" s="373">
        <v>0</v>
      </c>
      <c r="CK35" s="373">
        <v>0</v>
      </c>
      <c r="CL35" s="373">
        <v>0</v>
      </c>
      <c r="CM35" s="373">
        <v>0</v>
      </c>
      <c r="CN35" s="373">
        <v>0</v>
      </c>
      <c r="CO35" s="373">
        <v>0</v>
      </c>
      <c r="CP35" s="373">
        <v>0</v>
      </c>
      <c r="CQ35" s="373">
        <v>0</v>
      </c>
      <c r="CR35" s="373">
        <v>0</v>
      </c>
      <c r="CS35" s="373">
        <v>0</v>
      </c>
      <c r="CT35" s="373">
        <v>0</v>
      </c>
      <c r="CU35" s="373">
        <v>0</v>
      </c>
      <c r="CV35" s="373">
        <v>0</v>
      </c>
      <c r="CW35" s="373">
        <v>0</v>
      </c>
      <c r="CX35" s="373">
        <v>0</v>
      </c>
      <c r="CY35" s="373">
        <v>0</v>
      </c>
      <c r="CZ35" s="373">
        <v>0</v>
      </c>
      <c r="DA35" s="373">
        <v>0</v>
      </c>
      <c r="DB35" s="373">
        <v>0</v>
      </c>
      <c r="DC35" s="373">
        <v>0</v>
      </c>
      <c r="DD35" s="373">
        <v>0</v>
      </c>
      <c r="DE35" s="373">
        <v>0</v>
      </c>
      <c r="DF35" s="373">
        <v>0</v>
      </c>
      <c r="DG35" s="373">
        <v>0</v>
      </c>
      <c r="DH35" s="373">
        <v>0</v>
      </c>
      <c r="DI35" s="373">
        <v>0</v>
      </c>
      <c r="DJ35" s="365">
        <v>0</v>
      </c>
      <c r="DK35" s="373">
        <v>0</v>
      </c>
      <c r="DL35" s="373">
        <v>0</v>
      </c>
      <c r="DM35" s="373">
        <v>0</v>
      </c>
      <c r="DN35" s="373">
        <v>0</v>
      </c>
      <c r="DO35" s="373">
        <v>0</v>
      </c>
      <c r="DP35" s="373">
        <v>0</v>
      </c>
      <c r="DQ35" s="373">
        <v>0</v>
      </c>
      <c r="DR35" s="373">
        <v>0</v>
      </c>
      <c r="DS35" s="365">
        <v>0</v>
      </c>
      <c r="DT35" s="374">
        <f t="shared" si="24"/>
        <v>67293.245999999999</v>
      </c>
      <c r="DU35" s="375">
        <f t="shared" si="25"/>
        <v>0</v>
      </c>
      <c r="DV35" s="376"/>
      <c r="DW35" s="138" t="b">
        <f t="shared" si="26"/>
        <v>1</v>
      </c>
    </row>
    <row r="36" spans="1:127" s="138" customFormat="1" ht="12" customHeight="1">
      <c r="A36" s="169" t="s">
        <v>348</v>
      </c>
      <c r="B36" s="170"/>
      <c r="C36" s="171" t="s">
        <v>278</v>
      </c>
      <c r="D36" s="171"/>
      <c r="E36" s="365">
        <f t="shared" ref="E36:E50" si="32">$E$35</f>
        <v>52.44</v>
      </c>
      <c r="F36" s="365">
        <f>$F$35</f>
        <v>1.08</v>
      </c>
      <c r="G36" s="365">
        <f t="shared" si="16"/>
        <v>53.519999999999996</v>
      </c>
      <c r="H36" s="365">
        <f t="shared" ref="H36:H50" si="33">$H$35</f>
        <v>9.06</v>
      </c>
      <c r="I36" s="365">
        <f t="shared" si="30"/>
        <v>149.1</v>
      </c>
      <c r="J36" s="366">
        <f t="shared" si="17"/>
        <v>1350.846</v>
      </c>
      <c r="K36" s="377" t="s">
        <v>349</v>
      </c>
      <c r="L36" s="378" t="s">
        <v>309</v>
      </c>
      <c r="M36" s="365">
        <v>6000</v>
      </c>
      <c r="N36" s="379">
        <f t="shared" ref="N36:N50" si="34">+$N$35</f>
        <v>1120</v>
      </c>
      <c r="O36" s="369">
        <f t="shared" si="18"/>
        <v>67293.245999999999</v>
      </c>
      <c r="P36" s="370">
        <f t="shared" si="19"/>
        <v>1257.3476457399104</v>
      </c>
      <c r="Q36" s="172">
        <v>0.01</v>
      </c>
      <c r="R36" s="371">
        <f t="shared" si="20"/>
        <v>672.93245999999999</v>
      </c>
      <c r="S36" s="172">
        <v>0.04</v>
      </c>
      <c r="T36" s="371">
        <f t="shared" si="21"/>
        <v>2691.72984</v>
      </c>
      <c r="U36" s="372">
        <f t="shared" si="22"/>
        <v>3</v>
      </c>
      <c r="V36" s="172">
        <v>0.95</v>
      </c>
      <c r="W36" s="371">
        <f t="shared" si="23"/>
        <v>63928.583699999996</v>
      </c>
      <c r="X36" s="373"/>
      <c r="Y36" s="373">
        <f>+$R36</f>
        <v>672.93245999999999</v>
      </c>
      <c r="Z36" s="373">
        <f>+$T36/3</f>
        <v>897.24328000000003</v>
      </c>
      <c r="AA36" s="373">
        <f>+Z36</f>
        <v>897.24328000000003</v>
      </c>
      <c r="AB36" s="373">
        <f>+AA36</f>
        <v>897.24328000000003</v>
      </c>
      <c r="AC36" s="373">
        <f>+$W36</f>
        <v>63928.583699999996</v>
      </c>
      <c r="AD36" s="373">
        <v>0</v>
      </c>
      <c r="AE36" s="373">
        <v>0</v>
      </c>
      <c r="AF36" s="373">
        <v>0</v>
      </c>
      <c r="AG36" s="373">
        <v>0</v>
      </c>
      <c r="AH36" s="373">
        <v>0</v>
      </c>
      <c r="AI36" s="373">
        <v>0</v>
      </c>
      <c r="AJ36" s="373">
        <v>0</v>
      </c>
      <c r="AK36" s="373">
        <v>0</v>
      </c>
      <c r="AL36" s="373">
        <v>0</v>
      </c>
      <c r="AM36" s="373">
        <v>0</v>
      </c>
      <c r="AN36" s="373">
        <v>0</v>
      </c>
      <c r="AO36" s="373">
        <v>0</v>
      </c>
      <c r="AP36" s="373">
        <v>0</v>
      </c>
      <c r="AQ36" s="373">
        <v>0</v>
      </c>
      <c r="AR36" s="373">
        <v>0</v>
      </c>
      <c r="AS36" s="373">
        <v>0</v>
      </c>
      <c r="AT36" s="373">
        <v>0</v>
      </c>
      <c r="AU36" s="373">
        <v>0</v>
      </c>
      <c r="AV36" s="373">
        <v>0</v>
      </c>
      <c r="AW36" s="373">
        <v>0</v>
      </c>
      <c r="AX36" s="373">
        <v>0</v>
      </c>
      <c r="AY36" s="373">
        <v>0</v>
      </c>
      <c r="AZ36" s="373">
        <v>0</v>
      </c>
      <c r="BA36" s="373">
        <v>0</v>
      </c>
      <c r="BB36" s="373">
        <v>0</v>
      </c>
      <c r="BC36" s="373">
        <v>0</v>
      </c>
      <c r="BD36" s="373">
        <v>0</v>
      </c>
      <c r="BE36" s="373">
        <v>0</v>
      </c>
      <c r="BF36" s="373">
        <v>0</v>
      </c>
      <c r="BG36" s="373">
        <v>0</v>
      </c>
      <c r="BH36" s="373">
        <v>0</v>
      </c>
      <c r="BI36" s="373">
        <v>0</v>
      </c>
      <c r="BJ36" s="373">
        <v>0</v>
      </c>
      <c r="BK36" s="373">
        <v>0</v>
      </c>
      <c r="BL36" s="373">
        <v>0</v>
      </c>
      <c r="BM36" s="373">
        <v>0</v>
      </c>
      <c r="BN36" s="373">
        <v>0</v>
      </c>
      <c r="BO36" s="373">
        <v>0</v>
      </c>
      <c r="BP36" s="373">
        <v>0</v>
      </c>
      <c r="BQ36" s="373">
        <v>0</v>
      </c>
      <c r="BR36" s="373">
        <v>0</v>
      </c>
      <c r="BS36" s="373">
        <v>0</v>
      </c>
      <c r="BT36" s="373">
        <v>0</v>
      </c>
      <c r="BU36" s="373">
        <v>0</v>
      </c>
      <c r="BV36" s="373">
        <v>0</v>
      </c>
      <c r="BW36" s="373">
        <v>0</v>
      </c>
      <c r="BX36" s="373">
        <v>0</v>
      </c>
      <c r="BY36" s="373">
        <v>0</v>
      </c>
      <c r="BZ36" s="373">
        <v>0</v>
      </c>
      <c r="CA36" s="373">
        <v>0</v>
      </c>
      <c r="CB36" s="373">
        <v>0</v>
      </c>
      <c r="CC36" s="373">
        <v>0</v>
      </c>
      <c r="CD36" s="373">
        <v>0</v>
      </c>
      <c r="CE36" s="373">
        <v>0</v>
      </c>
      <c r="CF36" s="373">
        <v>0</v>
      </c>
      <c r="CG36" s="373">
        <v>0</v>
      </c>
      <c r="CH36" s="373">
        <v>0</v>
      </c>
      <c r="CI36" s="373">
        <v>0</v>
      </c>
      <c r="CJ36" s="373">
        <v>0</v>
      </c>
      <c r="CK36" s="373">
        <v>0</v>
      </c>
      <c r="CL36" s="373">
        <v>0</v>
      </c>
      <c r="CM36" s="373">
        <v>0</v>
      </c>
      <c r="CN36" s="373">
        <v>0</v>
      </c>
      <c r="CO36" s="373">
        <v>0</v>
      </c>
      <c r="CP36" s="373">
        <v>0</v>
      </c>
      <c r="CQ36" s="373">
        <v>0</v>
      </c>
      <c r="CR36" s="373">
        <v>0</v>
      </c>
      <c r="CS36" s="373">
        <v>0</v>
      </c>
      <c r="CT36" s="373">
        <v>0</v>
      </c>
      <c r="CU36" s="373">
        <v>0</v>
      </c>
      <c r="CV36" s="373">
        <v>0</v>
      </c>
      <c r="CW36" s="373">
        <v>0</v>
      </c>
      <c r="CX36" s="373">
        <v>0</v>
      </c>
      <c r="CY36" s="373">
        <v>0</v>
      </c>
      <c r="CZ36" s="373">
        <v>0</v>
      </c>
      <c r="DA36" s="373">
        <v>0</v>
      </c>
      <c r="DB36" s="373">
        <v>0</v>
      </c>
      <c r="DC36" s="373">
        <v>0</v>
      </c>
      <c r="DD36" s="373">
        <v>0</v>
      </c>
      <c r="DE36" s="373">
        <v>0</v>
      </c>
      <c r="DF36" s="373">
        <v>0</v>
      </c>
      <c r="DG36" s="373">
        <v>0</v>
      </c>
      <c r="DH36" s="373">
        <v>0</v>
      </c>
      <c r="DI36" s="373">
        <v>0</v>
      </c>
      <c r="DJ36" s="365">
        <v>0</v>
      </c>
      <c r="DK36" s="373">
        <v>0</v>
      </c>
      <c r="DL36" s="373">
        <v>0</v>
      </c>
      <c r="DM36" s="373">
        <v>0</v>
      </c>
      <c r="DN36" s="373">
        <v>0</v>
      </c>
      <c r="DO36" s="373">
        <v>0</v>
      </c>
      <c r="DP36" s="373">
        <v>0</v>
      </c>
      <c r="DQ36" s="373">
        <v>0</v>
      </c>
      <c r="DR36" s="373">
        <v>0</v>
      </c>
      <c r="DS36" s="365">
        <v>0</v>
      </c>
      <c r="DT36" s="374">
        <f t="shared" si="24"/>
        <v>67293.245999999999</v>
      </c>
      <c r="DU36" s="375">
        <f t="shared" si="25"/>
        <v>0</v>
      </c>
      <c r="DV36" s="376"/>
      <c r="DW36" s="138" t="b">
        <f t="shared" si="26"/>
        <v>1</v>
      </c>
    </row>
    <row r="37" spans="1:127" s="138" customFormat="1" ht="12" customHeight="1">
      <c r="A37" s="169" t="s">
        <v>350</v>
      </c>
      <c r="B37" s="170"/>
      <c r="C37" s="171" t="s">
        <v>278</v>
      </c>
      <c r="D37" s="171"/>
      <c r="E37" s="365">
        <f t="shared" si="32"/>
        <v>52.44</v>
      </c>
      <c r="F37" s="365">
        <f t="shared" ref="F37:F51" si="35">$F$33</f>
        <v>1.08</v>
      </c>
      <c r="G37" s="365">
        <f t="shared" si="16"/>
        <v>53.519999999999996</v>
      </c>
      <c r="H37" s="365">
        <f t="shared" si="33"/>
        <v>9.06</v>
      </c>
      <c r="I37" s="365">
        <f t="shared" si="30"/>
        <v>149.1</v>
      </c>
      <c r="J37" s="366">
        <f t="shared" si="17"/>
        <v>1350.846</v>
      </c>
      <c r="K37" s="377" t="s">
        <v>351</v>
      </c>
      <c r="L37" s="378" t="s">
        <v>309</v>
      </c>
      <c r="M37" s="365">
        <v>6000</v>
      </c>
      <c r="N37" s="379">
        <f t="shared" si="34"/>
        <v>1120</v>
      </c>
      <c r="O37" s="369">
        <f t="shared" si="18"/>
        <v>67293.245999999999</v>
      </c>
      <c r="P37" s="370">
        <f t="shared" si="19"/>
        <v>1257.3476457399104</v>
      </c>
      <c r="Q37" s="172">
        <v>0.01</v>
      </c>
      <c r="R37" s="371">
        <f t="shared" si="20"/>
        <v>672.93245999999999</v>
      </c>
      <c r="S37" s="172">
        <v>0.04</v>
      </c>
      <c r="T37" s="371">
        <f t="shared" si="21"/>
        <v>2691.72984</v>
      </c>
      <c r="U37" s="372">
        <f t="shared" si="22"/>
        <v>1</v>
      </c>
      <c r="V37" s="172">
        <v>0.95</v>
      </c>
      <c r="W37" s="371">
        <f t="shared" si="23"/>
        <v>63928.583699999996</v>
      </c>
      <c r="X37" s="373"/>
      <c r="Y37" s="373"/>
      <c r="Z37" s="373">
        <f>+$R37</f>
        <v>672.93245999999999</v>
      </c>
      <c r="AA37" s="373">
        <f>+$T37/1</f>
        <v>2691.72984</v>
      </c>
      <c r="AB37" s="373">
        <f>+$W37</f>
        <v>63928.583699999996</v>
      </c>
      <c r="AC37" s="373">
        <v>0</v>
      </c>
      <c r="AD37" s="373">
        <v>0</v>
      </c>
      <c r="AE37" s="373">
        <v>0</v>
      </c>
      <c r="AF37" s="373">
        <v>0</v>
      </c>
      <c r="AG37" s="373">
        <v>0</v>
      </c>
      <c r="AH37" s="373">
        <v>0</v>
      </c>
      <c r="AI37" s="373">
        <v>0</v>
      </c>
      <c r="AJ37" s="373">
        <v>0</v>
      </c>
      <c r="AK37" s="373">
        <v>0</v>
      </c>
      <c r="AL37" s="373">
        <v>0</v>
      </c>
      <c r="AM37" s="373">
        <v>0</v>
      </c>
      <c r="AN37" s="373">
        <v>0</v>
      </c>
      <c r="AO37" s="373">
        <v>0</v>
      </c>
      <c r="AP37" s="373">
        <v>0</v>
      </c>
      <c r="AQ37" s="373">
        <v>0</v>
      </c>
      <c r="AR37" s="373">
        <v>0</v>
      </c>
      <c r="AS37" s="373">
        <v>0</v>
      </c>
      <c r="AT37" s="373">
        <v>0</v>
      </c>
      <c r="AU37" s="373">
        <v>0</v>
      </c>
      <c r="AV37" s="373">
        <v>0</v>
      </c>
      <c r="AW37" s="373">
        <v>0</v>
      </c>
      <c r="AX37" s="373">
        <v>0</v>
      </c>
      <c r="AY37" s="373">
        <v>0</v>
      </c>
      <c r="AZ37" s="373">
        <v>0</v>
      </c>
      <c r="BA37" s="373">
        <v>0</v>
      </c>
      <c r="BB37" s="373">
        <v>0</v>
      </c>
      <c r="BC37" s="373">
        <v>0</v>
      </c>
      <c r="BD37" s="373">
        <v>0</v>
      </c>
      <c r="BE37" s="373">
        <v>0</v>
      </c>
      <c r="BF37" s="373">
        <v>0</v>
      </c>
      <c r="BG37" s="373">
        <v>0</v>
      </c>
      <c r="BH37" s="373">
        <v>0</v>
      </c>
      <c r="BI37" s="373">
        <v>0</v>
      </c>
      <c r="BJ37" s="373">
        <v>0</v>
      </c>
      <c r="BK37" s="373">
        <v>0</v>
      </c>
      <c r="BL37" s="373">
        <v>0</v>
      </c>
      <c r="BM37" s="373">
        <v>0</v>
      </c>
      <c r="BN37" s="373">
        <v>0</v>
      </c>
      <c r="BO37" s="373">
        <v>0</v>
      </c>
      <c r="BP37" s="373">
        <v>0</v>
      </c>
      <c r="BQ37" s="373">
        <v>0</v>
      </c>
      <c r="BR37" s="373">
        <v>0</v>
      </c>
      <c r="BS37" s="373">
        <v>0</v>
      </c>
      <c r="BT37" s="373">
        <v>0</v>
      </c>
      <c r="BU37" s="373">
        <v>0</v>
      </c>
      <c r="BV37" s="373">
        <v>0</v>
      </c>
      <c r="BW37" s="373">
        <v>0</v>
      </c>
      <c r="BX37" s="373">
        <v>0</v>
      </c>
      <c r="BY37" s="373">
        <v>0</v>
      </c>
      <c r="BZ37" s="373">
        <v>0</v>
      </c>
      <c r="CA37" s="373">
        <v>0</v>
      </c>
      <c r="CB37" s="373">
        <v>0</v>
      </c>
      <c r="CC37" s="373">
        <v>0</v>
      </c>
      <c r="CD37" s="373">
        <v>0</v>
      </c>
      <c r="CE37" s="373">
        <v>0</v>
      </c>
      <c r="CF37" s="373">
        <v>0</v>
      </c>
      <c r="CG37" s="373">
        <v>0</v>
      </c>
      <c r="CH37" s="373">
        <v>0</v>
      </c>
      <c r="CI37" s="373">
        <v>0</v>
      </c>
      <c r="CJ37" s="373">
        <v>0</v>
      </c>
      <c r="CK37" s="373">
        <v>0</v>
      </c>
      <c r="CL37" s="373">
        <v>0</v>
      </c>
      <c r="CM37" s="373">
        <v>0</v>
      </c>
      <c r="CN37" s="373">
        <v>0</v>
      </c>
      <c r="CO37" s="373">
        <v>0</v>
      </c>
      <c r="CP37" s="373">
        <v>0</v>
      </c>
      <c r="CQ37" s="373">
        <v>0</v>
      </c>
      <c r="CR37" s="373">
        <v>0</v>
      </c>
      <c r="CS37" s="373">
        <v>0</v>
      </c>
      <c r="CT37" s="373">
        <v>0</v>
      </c>
      <c r="CU37" s="373">
        <v>0</v>
      </c>
      <c r="CV37" s="373">
        <v>0</v>
      </c>
      <c r="CW37" s="373">
        <v>0</v>
      </c>
      <c r="CX37" s="373">
        <v>0</v>
      </c>
      <c r="CY37" s="373">
        <v>0</v>
      </c>
      <c r="CZ37" s="373">
        <v>0</v>
      </c>
      <c r="DA37" s="373">
        <v>0</v>
      </c>
      <c r="DB37" s="373">
        <v>0</v>
      </c>
      <c r="DC37" s="373">
        <v>0</v>
      </c>
      <c r="DD37" s="373">
        <v>0</v>
      </c>
      <c r="DE37" s="373">
        <v>0</v>
      </c>
      <c r="DF37" s="373">
        <v>0</v>
      </c>
      <c r="DG37" s="373">
        <v>0</v>
      </c>
      <c r="DH37" s="373">
        <v>0</v>
      </c>
      <c r="DI37" s="373">
        <v>0</v>
      </c>
      <c r="DJ37" s="365">
        <v>0</v>
      </c>
      <c r="DK37" s="373">
        <v>0</v>
      </c>
      <c r="DL37" s="373">
        <v>0</v>
      </c>
      <c r="DM37" s="373">
        <v>0</v>
      </c>
      <c r="DN37" s="373">
        <v>0</v>
      </c>
      <c r="DO37" s="373">
        <v>0</v>
      </c>
      <c r="DP37" s="373">
        <v>0</v>
      </c>
      <c r="DQ37" s="373">
        <v>0</v>
      </c>
      <c r="DR37" s="373">
        <v>0</v>
      </c>
      <c r="DS37" s="365">
        <v>0</v>
      </c>
      <c r="DT37" s="374">
        <f t="shared" si="24"/>
        <v>67293.245999999999</v>
      </c>
      <c r="DU37" s="375">
        <f t="shared" si="25"/>
        <v>0</v>
      </c>
      <c r="DV37" s="376"/>
      <c r="DW37" s="138" t="b">
        <f t="shared" si="26"/>
        <v>1</v>
      </c>
    </row>
    <row r="38" spans="1:127" s="138" customFormat="1" ht="12" customHeight="1">
      <c r="A38" s="169" t="s">
        <v>352</v>
      </c>
      <c r="B38" s="170"/>
      <c r="C38" s="171" t="s">
        <v>278</v>
      </c>
      <c r="D38" s="171"/>
      <c r="E38" s="365">
        <f t="shared" si="32"/>
        <v>52.44</v>
      </c>
      <c r="F38" s="365">
        <f t="shared" si="35"/>
        <v>1.08</v>
      </c>
      <c r="G38" s="365">
        <f t="shared" si="16"/>
        <v>53.519999999999996</v>
      </c>
      <c r="H38" s="365">
        <f t="shared" si="33"/>
        <v>9.06</v>
      </c>
      <c r="I38" s="365">
        <f t="shared" si="30"/>
        <v>149.1</v>
      </c>
      <c r="J38" s="366">
        <f t="shared" si="17"/>
        <v>1350.846</v>
      </c>
      <c r="K38" s="377" t="s">
        <v>353</v>
      </c>
      <c r="L38" s="378" t="s">
        <v>309</v>
      </c>
      <c r="M38" s="365">
        <v>6000</v>
      </c>
      <c r="N38" s="379">
        <f t="shared" si="34"/>
        <v>1120</v>
      </c>
      <c r="O38" s="369">
        <f t="shared" si="18"/>
        <v>67293.245999999999</v>
      </c>
      <c r="P38" s="370">
        <f t="shared" si="19"/>
        <v>1257.3476457399104</v>
      </c>
      <c r="Q38" s="172">
        <v>0.01</v>
      </c>
      <c r="R38" s="371">
        <f t="shared" si="20"/>
        <v>672.93245999999999</v>
      </c>
      <c r="S38" s="172">
        <v>0.04</v>
      </c>
      <c r="T38" s="371">
        <f t="shared" si="21"/>
        <v>2691.72984</v>
      </c>
      <c r="U38" s="372">
        <f t="shared" si="22"/>
        <v>5</v>
      </c>
      <c r="V38" s="172">
        <v>0.95</v>
      </c>
      <c r="W38" s="371">
        <f t="shared" si="23"/>
        <v>63928.583699999996</v>
      </c>
      <c r="X38" s="373"/>
      <c r="Y38" s="373"/>
      <c r="Z38" s="373"/>
      <c r="AA38" s="373">
        <f>+$R38</f>
        <v>672.93245999999999</v>
      </c>
      <c r="AB38" s="373">
        <f>+$T38/5</f>
        <v>538.34596799999997</v>
      </c>
      <c r="AC38" s="373">
        <f>+AB38</f>
        <v>538.34596799999997</v>
      </c>
      <c r="AD38" s="373">
        <f>+AC38</f>
        <v>538.34596799999997</v>
      </c>
      <c r="AE38" s="373">
        <f>+AD38</f>
        <v>538.34596799999997</v>
      </c>
      <c r="AF38" s="373">
        <f>+AE38</f>
        <v>538.34596799999997</v>
      </c>
      <c r="AG38" s="373">
        <f>+$W38</f>
        <v>63928.583699999996</v>
      </c>
      <c r="AH38" s="373">
        <v>0</v>
      </c>
      <c r="AI38" s="373">
        <v>0</v>
      </c>
      <c r="AJ38" s="373">
        <v>0</v>
      </c>
      <c r="AK38" s="373">
        <v>0</v>
      </c>
      <c r="AL38" s="373">
        <v>0</v>
      </c>
      <c r="AM38" s="373">
        <v>0</v>
      </c>
      <c r="AN38" s="373">
        <v>0</v>
      </c>
      <c r="AO38" s="373">
        <v>0</v>
      </c>
      <c r="AP38" s="373">
        <v>0</v>
      </c>
      <c r="AQ38" s="373">
        <v>0</v>
      </c>
      <c r="AR38" s="373">
        <v>0</v>
      </c>
      <c r="AS38" s="373">
        <v>0</v>
      </c>
      <c r="AT38" s="373">
        <v>0</v>
      </c>
      <c r="AU38" s="373">
        <v>0</v>
      </c>
      <c r="AV38" s="373">
        <v>0</v>
      </c>
      <c r="AW38" s="373">
        <v>0</v>
      </c>
      <c r="AX38" s="373">
        <v>0</v>
      </c>
      <c r="AY38" s="373">
        <v>0</v>
      </c>
      <c r="AZ38" s="373">
        <v>0</v>
      </c>
      <c r="BA38" s="373">
        <v>0</v>
      </c>
      <c r="BB38" s="373">
        <v>0</v>
      </c>
      <c r="BC38" s="373">
        <v>0</v>
      </c>
      <c r="BD38" s="373">
        <v>0</v>
      </c>
      <c r="BE38" s="373">
        <v>0</v>
      </c>
      <c r="BF38" s="373">
        <v>0</v>
      </c>
      <c r="BG38" s="373">
        <v>0</v>
      </c>
      <c r="BH38" s="373">
        <v>0</v>
      </c>
      <c r="BI38" s="373">
        <v>0</v>
      </c>
      <c r="BJ38" s="373">
        <v>0</v>
      </c>
      <c r="BK38" s="373">
        <v>0</v>
      </c>
      <c r="BL38" s="373">
        <v>0</v>
      </c>
      <c r="BM38" s="373">
        <v>0</v>
      </c>
      <c r="BN38" s="373">
        <v>0</v>
      </c>
      <c r="BO38" s="373">
        <v>0</v>
      </c>
      <c r="BP38" s="373">
        <v>0</v>
      </c>
      <c r="BQ38" s="373">
        <v>0</v>
      </c>
      <c r="BR38" s="373">
        <v>0</v>
      </c>
      <c r="BS38" s="373">
        <v>0</v>
      </c>
      <c r="BT38" s="373">
        <v>0</v>
      </c>
      <c r="BU38" s="373">
        <v>0</v>
      </c>
      <c r="BV38" s="373">
        <v>0</v>
      </c>
      <c r="BW38" s="373">
        <v>0</v>
      </c>
      <c r="BX38" s="373">
        <v>0</v>
      </c>
      <c r="BY38" s="373">
        <v>0</v>
      </c>
      <c r="BZ38" s="373">
        <v>0</v>
      </c>
      <c r="CA38" s="373">
        <v>0</v>
      </c>
      <c r="CB38" s="373">
        <v>0</v>
      </c>
      <c r="CC38" s="373">
        <v>0</v>
      </c>
      <c r="CD38" s="373">
        <v>0</v>
      </c>
      <c r="CE38" s="373">
        <v>0</v>
      </c>
      <c r="CF38" s="373">
        <v>0</v>
      </c>
      <c r="CG38" s="373">
        <v>0</v>
      </c>
      <c r="CH38" s="373">
        <v>0</v>
      </c>
      <c r="CI38" s="373">
        <v>0</v>
      </c>
      <c r="CJ38" s="373">
        <v>0</v>
      </c>
      <c r="CK38" s="373">
        <v>0</v>
      </c>
      <c r="CL38" s="373">
        <v>0</v>
      </c>
      <c r="CM38" s="373">
        <v>0</v>
      </c>
      <c r="CN38" s="373">
        <v>0</v>
      </c>
      <c r="CO38" s="373">
        <v>0</v>
      </c>
      <c r="CP38" s="373">
        <v>0</v>
      </c>
      <c r="CQ38" s="373">
        <v>0</v>
      </c>
      <c r="CR38" s="373">
        <v>0</v>
      </c>
      <c r="CS38" s="373">
        <v>0</v>
      </c>
      <c r="CT38" s="373">
        <v>0</v>
      </c>
      <c r="CU38" s="373">
        <v>0</v>
      </c>
      <c r="CV38" s="373">
        <v>0</v>
      </c>
      <c r="CW38" s="373">
        <v>0</v>
      </c>
      <c r="CX38" s="373">
        <v>0</v>
      </c>
      <c r="CY38" s="373">
        <v>0</v>
      </c>
      <c r="CZ38" s="373">
        <v>0</v>
      </c>
      <c r="DA38" s="373">
        <v>0</v>
      </c>
      <c r="DB38" s="373">
        <v>0</v>
      </c>
      <c r="DC38" s="373">
        <v>0</v>
      </c>
      <c r="DD38" s="373">
        <v>0</v>
      </c>
      <c r="DE38" s="373">
        <v>0</v>
      </c>
      <c r="DF38" s="373">
        <v>0</v>
      </c>
      <c r="DG38" s="373">
        <v>0</v>
      </c>
      <c r="DH38" s="373">
        <v>0</v>
      </c>
      <c r="DI38" s="373">
        <v>0</v>
      </c>
      <c r="DJ38" s="365">
        <v>0</v>
      </c>
      <c r="DK38" s="373">
        <v>0</v>
      </c>
      <c r="DL38" s="373">
        <v>0</v>
      </c>
      <c r="DM38" s="373">
        <v>0</v>
      </c>
      <c r="DN38" s="373">
        <v>0</v>
      </c>
      <c r="DO38" s="373">
        <v>0</v>
      </c>
      <c r="DP38" s="373">
        <v>0</v>
      </c>
      <c r="DQ38" s="373">
        <v>0</v>
      </c>
      <c r="DR38" s="373">
        <v>0</v>
      </c>
      <c r="DS38" s="365">
        <v>0</v>
      </c>
      <c r="DT38" s="374">
        <f t="shared" si="24"/>
        <v>67293.245999999999</v>
      </c>
      <c r="DU38" s="375">
        <f t="shared" si="25"/>
        <v>0</v>
      </c>
      <c r="DV38" s="376"/>
      <c r="DW38" s="138" t="b">
        <f t="shared" si="26"/>
        <v>1</v>
      </c>
    </row>
    <row r="39" spans="1:127" s="138" customFormat="1" ht="12" customHeight="1">
      <c r="A39" s="169" t="s">
        <v>354</v>
      </c>
      <c r="B39" s="170"/>
      <c r="C39" s="171" t="s">
        <v>278</v>
      </c>
      <c r="D39" s="171"/>
      <c r="E39" s="365">
        <f t="shared" si="32"/>
        <v>52.44</v>
      </c>
      <c r="F39" s="365">
        <f t="shared" si="35"/>
        <v>1.08</v>
      </c>
      <c r="G39" s="365">
        <f t="shared" si="16"/>
        <v>53.519999999999996</v>
      </c>
      <c r="H39" s="365">
        <f t="shared" si="33"/>
        <v>9.06</v>
      </c>
      <c r="I39" s="365">
        <f t="shared" si="30"/>
        <v>149.1</v>
      </c>
      <c r="J39" s="366">
        <f t="shared" si="17"/>
        <v>1350.846</v>
      </c>
      <c r="K39" s="378" t="s">
        <v>355</v>
      </c>
      <c r="L39" s="378" t="s">
        <v>329</v>
      </c>
      <c r="M39" s="365">
        <v>5000</v>
      </c>
      <c r="N39" s="379">
        <f t="shared" si="34"/>
        <v>1120</v>
      </c>
      <c r="O39" s="382">
        <f t="shared" si="18"/>
        <v>66293.245999999999</v>
      </c>
      <c r="P39" s="370">
        <f t="shared" si="19"/>
        <v>1238.6630418535128</v>
      </c>
      <c r="Q39" s="172">
        <v>0.01</v>
      </c>
      <c r="R39" s="371">
        <f t="shared" si="20"/>
        <v>662.93245999999999</v>
      </c>
      <c r="S39" s="172">
        <v>0.04</v>
      </c>
      <c r="T39" s="371">
        <f t="shared" si="21"/>
        <v>2651.72984</v>
      </c>
      <c r="U39" s="372">
        <f t="shared" si="22"/>
        <v>3</v>
      </c>
      <c r="V39" s="172">
        <v>0.95</v>
      </c>
      <c r="W39" s="371">
        <f t="shared" si="23"/>
        <v>62978.583699999996</v>
      </c>
      <c r="X39" s="373"/>
      <c r="Y39" s="373"/>
      <c r="Z39" s="373"/>
      <c r="AA39" s="373"/>
      <c r="AB39" s="373">
        <f>+$R39</f>
        <v>662.93245999999999</v>
      </c>
      <c r="AC39" s="373">
        <f>+$T39/3</f>
        <v>883.90994666666666</v>
      </c>
      <c r="AD39" s="373">
        <f>+AC39</f>
        <v>883.90994666666666</v>
      </c>
      <c r="AE39" s="373">
        <f>+AD39</f>
        <v>883.90994666666666</v>
      </c>
      <c r="AF39" s="373">
        <f>+$W39</f>
        <v>62978.583699999996</v>
      </c>
      <c r="AG39" s="373">
        <v>0</v>
      </c>
      <c r="AH39" s="373">
        <v>0</v>
      </c>
      <c r="AI39" s="373">
        <v>0</v>
      </c>
      <c r="AJ39" s="373">
        <v>0</v>
      </c>
      <c r="AK39" s="373">
        <v>0</v>
      </c>
      <c r="AL39" s="373">
        <v>0</v>
      </c>
      <c r="AM39" s="373">
        <v>0</v>
      </c>
      <c r="AN39" s="373">
        <v>0</v>
      </c>
      <c r="AO39" s="373">
        <v>0</v>
      </c>
      <c r="AP39" s="373">
        <v>0</v>
      </c>
      <c r="AQ39" s="373">
        <v>0</v>
      </c>
      <c r="AR39" s="373">
        <v>0</v>
      </c>
      <c r="AS39" s="373">
        <v>0</v>
      </c>
      <c r="AT39" s="373">
        <v>0</v>
      </c>
      <c r="AU39" s="373">
        <v>0</v>
      </c>
      <c r="AV39" s="373">
        <v>0</v>
      </c>
      <c r="AW39" s="373">
        <v>0</v>
      </c>
      <c r="AX39" s="373">
        <v>0</v>
      </c>
      <c r="AY39" s="373">
        <v>0</v>
      </c>
      <c r="AZ39" s="373">
        <v>0</v>
      </c>
      <c r="BA39" s="373">
        <v>0</v>
      </c>
      <c r="BB39" s="373">
        <v>0</v>
      </c>
      <c r="BC39" s="373">
        <v>0</v>
      </c>
      <c r="BD39" s="373">
        <v>0</v>
      </c>
      <c r="BE39" s="373">
        <v>0</v>
      </c>
      <c r="BF39" s="373">
        <v>0</v>
      </c>
      <c r="BG39" s="373">
        <v>0</v>
      </c>
      <c r="BH39" s="373">
        <v>0</v>
      </c>
      <c r="BI39" s="373">
        <v>0</v>
      </c>
      <c r="BJ39" s="373">
        <v>0</v>
      </c>
      <c r="BK39" s="373">
        <v>0</v>
      </c>
      <c r="BL39" s="373">
        <v>0</v>
      </c>
      <c r="BM39" s="373">
        <v>0</v>
      </c>
      <c r="BN39" s="373">
        <v>0</v>
      </c>
      <c r="BO39" s="373">
        <v>0</v>
      </c>
      <c r="BP39" s="373">
        <v>0</v>
      </c>
      <c r="BQ39" s="373">
        <v>0</v>
      </c>
      <c r="BR39" s="373">
        <v>0</v>
      </c>
      <c r="BS39" s="373">
        <v>0</v>
      </c>
      <c r="BT39" s="373">
        <v>0</v>
      </c>
      <c r="BU39" s="373">
        <v>0</v>
      </c>
      <c r="BV39" s="373">
        <v>0</v>
      </c>
      <c r="BW39" s="373">
        <v>0</v>
      </c>
      <c r="BX39" s="373">
        <v>0</v>
      </c>
      <c r="BY39" s="373">
        <v>0</v>
      </c>
      <c r="BZ39" s="373">
        <v>0</v>
      </c>
      <c r="CA39" s="373">
        <v>0</v>
      </c>
      <c r="CB39" s="373">
        <v>0</v>
      </c>
      <c r="CC39" s="373">
        <v>0</v>
      </c>
      <c r="CD39" s="373">
        <v>0</v>
      </c>
      <c r="CE39" s="373">
        <v>0</v>
      </c>
      <c r="CF39" s="373">
        <v>0</v>
      </c>
      <c r="CG39" s="373">
        <v>0</v>
      </c>
      <c r="CH39" s="373">
        <v>0</v>
      </c>
      <c r="CI39" s="373">
        <v>0</v>
      </c>
      <c r="CJ39" s="373">
        <v>0</v>
      </c>
      <c r="CK39" s="373">
        <v>0</v>
      </c>
      <c r="CL39" s="373">
        <v>0</v>
      </c>
      <c r="CM39" s="373">
        <v>0</v>
      </c>
      <c r="CN39" s="373">
        <v>0</v>
      </c>
      <c r="CO39" s="373">
        <v>0</v>
      </c>
      <c r="CP39" s="373">
        <v>0</v>
      </c>
      <c r="CQ39" s="373">
        <v>0</v>
      </c>
      <c r="CR39" s="373">
        <v>0</v>
      </c>
      <c r="CS39" s="373">
        <v>0</v>
      </c>
      <c r="CT39" s="373">
        <v>0</v>
      </c>
      <c r="CU39" s="373">
        <v>0</v>
      </c>
      <c r="CV39" s="373">
        <v>0</v>
      </c>
      <c r="CW39" s="373">
        <v>0</v>
      </c>
      <c r="CX39" s="373">
        <v>0</v>
      </c>
      <c r="CY39" s="373">
        <v>0</v>
      </c>
      <c r="CZ39" s="373">
        <v>0</v>
      </c>
      <c r="DA39" s="373">
        <v>0</v>
      </c>
      <c r="DB39" s="373">
        <v>0</v>
      </c>
      <c r="DC39" s="373">
        <v>0</v>
      </c>
      <c r="DD39" s="373">
        <v>0</v>
      </c>
      <c r="DE39" s="373">
        <v>0</v>
      </c>
      <c r="DF39" s="373">
        <v>0</v>
      </c>
      <c r="DG39" s="373">
        <v>0</v>
      </c>
      <c r="DH39" s="373">
        <v>0</v>
      </c>
      <c r="DI39" s="373">
        <v>0</v>
      </c>
      <c r="DJ39" s="365">
        <v>0</v>
      </c>
      <c r="DK39" s="373">
        <v>0</v>
      </c>
      <c r="DL39" s="373">
        <v>0</v>
      </c>
      <c r="DM39" s="373">
        <v>0</v>
      </c>
      <c r="DN39" s="373">
        <v>0</v>
      </c>
      <c r="DO39" s="373">
        <v>0</v>
      </c>
      <c r="DP39" s="373">
        <v>0</v>
      </c>
      <c r="DQ39" s="373">
        <v>0</v>
      </c>
      <c r="DR39" s="373">
        <v>0</v>
      </c>
      <c r="DS39" s="365">
        <v>0</v>
      </c>
      <c r="DT39" s="374">
        <f t="shared" si="24"/>
        <v>66293.245999999999</v>
      </c>
      <c r="DU39" s="375">
        <f t="shared" si="25"/>
        <v>0</v>
      </c>
      <c r="DV39" s="376"/>
      <c r="DW39" s="138" t="b">
        <f t="shared" si="26"/>
        <v>1</v>
      </c>
    </row>
    <row r="40" spans="1:127" s="138" customFormat="1" ht="12" customHeight="1">
      <c r="A40" s="169" t="s">
        <v>356</v>
      </c>
      <c r="B40" s="170"/>
      <c r="C40" s="171" t="s">
        <v>278</v>
      </c>
      <c r="D40" s="171"/>
      <c r="E40" s="365">
        <f t="shared" si="32"/>
        <v>52.44</v>
      </c>
      <c r="F40" s="365">
        <f t="shared" si="35"/>
        <v>1.08</v>
      </c>
      <c r="G40" s="365">
        <f t="shared" si="16"/>
        <v>53.519999999999996</v>
      </c>
      <c r="H40" s="365">
        <f t="shared" si="33"/>
        <v>9.06</v>
      </c>
      <c r="I40" s="365">
        <f t="shared" si="30"/>
        <v>149.1</v>
      </c>
      <c r="J40" s="366">
        <f t="shared" si="17"/>
        <v>1350.846</v>
      </c>
      <c r="K40" s="378" t="s">
        <v>357</v>
      </c>
      <c r="L40" s="378" t="s">
        <v>329</v>
      </c>
      <c r="M40" s="365">
        <v>5000</v>
      </c>
      <c r="N40" s="379">
        <f t="shared" si="34"/>
        <v>1120</v>
      </c>
      <c r="O40" s="382">
        <f t="shared" si="18"/>
        <v>66293.245999999999</v>
      </c>
      <c r="P40" s="370">
        <f t="shared" si="19"/>
        <v>1238.6630418535128</v>
      </c>
      <c r="Q40" s="172">
        <v>0.01</v>
      </c>
      <c r="R40" s="371">
        <f t="shared" si="20"/>
        <v>662.93245999999999</v>
      </c>
      <c r="S40" s="172">
        <v>0.04</v>
      </c>
      <c r="T40" s="371">
        <f t="shared" si="21"/>
        <v>2651.72984</v>
      </c>
      <c r="U40" s="372">
        <f t="shared" si="22"/>
        <v>1</v>
      </c>
      <c r="V40" s="172">
        <v>0.95</v>
      </c>
      <c r="W40" s="371">
        <f t="shared" si="23"/>
        <v>62978.583699999996</v>
      </c>
      <c r="X40" s="373"/>
      <c r="Y40" s="373"/>
      <c r="Z40" s="373"/>
      <c r="AA40" s="373"/>
      <c r="AB40" s="373"/>
      <c r="AC40" s="373">
        <f>+$R40</f>
        <v>662.93245999999999</v>
      </c>
      <c r="AD40" s="373">
        <f>+$T40/1</f>
        <v>2651.72984</v>
      </c>
      <c r="AE40" s="373">
        <f>+$W40</f>
        <v>62978.583699999996</v>
      </c>
      <c r="AF40" s="373">
        <v>0</v>
      </c>
      <c r="AG40" s="373">
        <v>0</v>
      </c>
      <c r="AH40" s="373">
        <v>0</v>
      </c>
      <c r="AI40" s="373">
        <v>0</v>
      </c>
      <c r="AJ40" s="373">
        <v>0</v>
      </c>
      <c r="AK40" s="373">
        <v>0</v>
      </c>
      <c r="AL40" s="373">
        <v>0</v>
      </c>
      <c r="AM40" s="373">
        <v>0</v>
      </c>
      <c r="AN40" s="373">
        <v>0</v>
      </c>
      <c r="AO40" s="373">
        <v>0</v>
      </c>
      <c r="AP40" s="373">
        <v>0</v>
      </c>
      <c r="AQ40" s="373">
        <v>0</v>
      </c>
      <c r="AR40" s="373">
        <v>0</v>
      </c>
      <c r="AS40" s="373">
        <v>0</v>
      </c>
      <c r="AT40" s="373">
        <v>0</v>
      </c>
      <c r="AU40" s="373">
        <v>0</v>
      </c>
      <c r="AV40" s="373">
        <v>0</v>
      </c>
      <c r="AW40" s="373">
        <v>0</v>
      </c>
      <c r="AX40" s="373">
        <v>0</v>
      </c>
      <c r="AY40" s="373">
        <v>0</v>
      </c>
      <c r="AZ40" s="373">
        <v>0</v>
      </c>
      <c r="BA40" s="373">
        <v>0</v>
      </c>
      <c r="BB40" s="373">
        <v>0</v>
      </c>
      <c r="BC40" s="373">
        <v>0</v>
      </c>
      <c r="BD40" s="373">
        <v>0</v>
      </c>
      <c r="BE40" s="373">
        <v>0</v>
      </c>
      <c r="BF40" s="373">
        <v>0</v>
      </c>
      <c r="BG40" s="373">
        <v>0</v>
      </c>
      <c r="BH40" s="373">
        <v>0</v>
      </c>
      <c r="BI40" s="373">
        <v>0</v>
      </c>
      <c r="BJ40" s="373">
        <v>0</v>
      </c>
      <c r="BK40" s="373">
        <v>0</v>
      </c>
      <c r="BL40" s="373">
        <v>0</v>
      </c>
      <c r="BM40" s="373">
        <v>0</v>
      </c>
      <c r="BN40" s="373">
        <v>0</v>
      </c>
      <c r="BO40" s="373">
        <v>0</v>
      </c>
      <c r="BP40" s="373">
        <v>0</v>
      </c>
      <c r="BQ40" s="373">
        <v>0</v>
      </c>
      <c r="BR40" s="373">
        <v>0</v>
      </c>
      <c r="BS40" s="373">
        <v>0</v>
      </c>
      <c r="BT40" s="373">
        <v>0</v>
      </c>
      <c r="BU40" s="373">
        <v>0</v>
      </c>
      <c r="BV40" s="373">
        <v>0</v>
      </c>
      <c r="BW40" s="373">
        <v>0</v>
      </c>
      <c r="BX40" s="373">
        <v>0</v>
      </c>
      <c r="BY40" s="373">
        <v>0</v>
      </c>
      <c r="BZ40" s="373">
        <v>0</v>
      </c>
      <c r="CA40" s="373">
        <v>0</v>
      </c>
      <c r="CB40" s="373">
        <v>0</v>
      </c>
      <c r="CC40" s="373">
        <v>0</v>
      </c>
      <c r="CD40" s="373">
        <v>0</v>
      </c>
      <c r="CE40" s="373">
        <v>0</v>
      </c>
      <c r="CF40" s="373">
        <v>0</v>
      </c>
      <c r="CG40" s="373">
        <v>0</v>
      </c>
      <c r="CH40" s="373">
        <v>0</v>
      </c>
      <c r="CI40" s="373">
        <v>0</v>
      </c>
      <c r="CJ40" s="373">
        <v>0</v>
      </c>
      <c r="CK40" s="373">
        <v>0</v>
      </c>
      <c r="CL40" s="373">
        <v>0</v>
      </c>
      <c r="CM40" s="373">
        <v>0</v>
      </c>
      <c r="CN40" s="373">
        <v>0</v>
      </c>
      <c r="CO40" s="373">
        <v>0</v>
      </c>
      <c r="CP40" s="373">
        <v>0</v>
      </c>
      <c r="CQ40" s="373">
        <v>0</v>
      </c>
      <c r="CR40" s="373">
        <v>0</v>
      </c>
      <c r="CS40" s="373">
        <v>0</v>
      </c>
      <c r="CT40" s="373">
        <v>0</v>
      </c>
      <c r="CU40" s="373">
        <v>0</v>
      </c>
      <c r="CV40" s="373">
        <v>0</v>
      </c>
      <c r="CW40" s="373">
        <v>0</v>
      </c>
      <c r="CX40" s="373">
        <v>0</v>
      </c>
      <c r="CY40" s="373">
        <v>0</v>
      </c>
      <c r="CZ40" s="373">
        <v>0</v>
      </c>
      <c r="DA40" s="373">
        <v>0</v>
      </c>
      <c r="DB40" s="373">
        <v>0</v>
      </c>
      <c r="DC40" s="373">
        <v>0</v>
      </c>
      <c r="DD40" s="373">
        <v>0</v>
      </c>
      <c r="DE40" s="373">
        <v>0</v>
      </c>
      <c r="DF40" s="373">
        <v>0</v>
      </c>
      <c r="DG40" s="373">
        <v>0</v>
      </c>
      <c r="DH40" s="373">
        <v>0</v>
      </c>
      <c r="DI40" s="373">
        <v>0</v>
      </c>
      <c r="DJ40" s="365">
        <v>0</v>
      </c>
      <c r="DK40" s="373">
        <v>0</v>
      </c>
      <c r="DL40" s="373">
        <v>0</v>
      </c>
      <c r="DM40" s="373">
        <v>0</v>
      </c>
      <c r="DN40" s="373">
        <v>0</v>
      </c>
      <c r="DO40" s="373">
        <v>0</v>
      </c>
      <c r="DP40" s="373">
        <v>0</v>
      </c>
      <c r="DQ40" s="373">
        <v>0</v>
      </c>
      <c r="DR40" s="373">
        <v>0</v>
      </c>
      <c r="DS40" s="365">
        <v>0</v>
      </c>
      <c r="DT40" s="374">
        <f t="shared" si="24"/>
        <v>66293.245999999999</v>
      </c>
      <c r="DU40" s="375">
        <f t="shared" si="25"/>
        <v>0</v>
      </c>
      <c r="DV40" s="376"/>
      <c r="DW40" s="138" t="b">
        <f t="shared" si="26"/>
        <v>1</v>
      </c>
    </row>
    <row r="41" spans="1:127" s="138" customFormat="1" ht="12" customHeight="1">
      <c r="A41" s="169" t="s">
        <v>358</v>
      </c>
      <c r="B41" s="170"/>
      <c r="C41" s="171" t="s">
        <v>278</v>
      </c>
      <c r="D41" s="171"/>
      <c r="E41" s="365">
        <f t="shared" si="32"/>
        <v>52.44</v>
      </c>
      <c r="F41" s="365">
        <f t="shared" si="35"/>
        <v>1.08</v>
      </c>
      <c r="G41" s="365">
        <f t="shared" si="16"/>
        <v>53.519999999999996</v>
      </c>
      <c r="H41" s="365">
        <f t="shared" si="33"/>
        <v>9.06</v>
      </c>
      <c r="I41" s="365">
        <f t="shared" si="30"/>
        <v>149.1</v>
      </c>
      <c r="J41" s="366">
        <f t="shared" si="17"/>
        <v>1350.846</v>
      </c>
      <c r="K41" s="377" t="s">
        <v>359</v>
      </c>
      <c r="L41" s="378" t="s">
        <v>309</v>
      </c>
      <c r="M41" s="365">
        <v>6000</v>
      </c>
      <c r="N41" s="379">
        <f t="shared" si="34"/>
        <v>1120</v>
      </c>
      <c r="O41" s="369">
        <f t="shared" si="18"/>
        <v>67293.245999999999</v>
      </c>
      <c r="P41" s="370">
        <f t="shared" si="19"/>
        <v>1257.3476457399104</v>
      </c>
      <c r="Q41" s="172">
        <v>0.01</v>
      </c>
      <c r="R41" s="371">
        <f t="shared" si="20"/>
        <v>672.93245999999999</v>
      </c>
      <c r="S41" s="172">
        <v>0.04</v>
      </c>
      <c r="T41" s="371">
        <f t="shared" si="21"/>
        <v>2691.72984</v>
      </c>
      <c r="U41" s="372">
        <f t="shared" si="22"/>
        <v>5</v>
      </c>
      <c r="V41" s="172">
        <v>0.95</v>
      </c>
      <c r="W41" s="371">
        <f t="shared" si="23"/>
        <v>63928.583699999996</v>
      </c>
      <c r="X41" s="373"/>
      <c r="Y41" s="373"/>
      <c r="Z41" s="373"/>
      <c r="AA41" s="373"/>
      <c r="AB41" s="373"/>
      <c r="AC41" s="373">
        <f>+$R41</f>
        <v>672.93245999999999</v>
      </c>
      <c r="AD41" s="373">
        <f>+$T41/5</f>
        <v>538.34596799999997</v>
      </c>
      <c r="AE41" s="373">
        <f>+AD41</f>
        <v>538.34596799999997</v>
      </c>
      <c r="AF41" s="373">
        <f>+AE41</f>
        <v>538.34596799999997</v>
      </c>
      <c r="AG41" s="373">
        <f>+AF41</f>
        <v>538.34596799999997</v>
      </c>
      <c r="AH41" s="373">
        <f>+AG41</f>
        <v>538.34596799999997</v>
      </c>
      <c r="AI41" s="373">
        <f>+$W41</f>
        <v>63928.583699999996</v>
      </c>
      <c r="AJ41" s="373">
        <v>0</v>
      </c>
      <c r="AK41" s="373">
        <v>0</v>
      </c>
      <c r="AL41" s="373">
        <v>0</v>
      </c>
      <c r="AM41" s="373">
        <v>0</v>
      </c>
      <c r="AN41" s="373">
        <v>0</v>
      </c>
      <c r="AO41" s="373">
        <v>0</v>
      </c>
      <c r="AP41" s="373">
        <v>0</v>
      </c>
      <c r="AQ41" s="373">
        <v>0</v>
      </c>
      <c r="AR41" s="373">
        <v>0</v>
      </c>
      <c r="AS41" s="373">
        <v>0</v>
      </c>
      <c r="AT41" s="373">
        <v>0</v>
      </c>
      <c r="AU41" s="373">
        <v>0</v>
      </c>
      <c r="AV41" s="373">
        <v>0</v>
      </c>
      <c r="AW41" s="373">
        <v>0</v>
      </c>
      <c r="AX41" s="373">
        <v>0</v>
      </c>
      <c r="AY41" s="373">
        <v>0</v>
      </c>
      <c r="AZ41" s="373">
        <v>0</v>
      </c>
      <c r="BA41" s="373">
        <v>0</v>
      </c>
      <c r="BB41" s="373">
        <v>0</v>
      </c>
      <c r="BC41" s="373">
        <v>0</v>
      </c>
      <c r="BD41" s="373">
        <v>0</v>
      </c>
      <c r="BE41" s="373">
        <v>0</v>
      </c>
      <c r="BF41" s="373">
        <v>0</v>
      </c>
      <c r="BG41" s="373">
        <v>0</v>
      </c>
      <c r="BH41" s="373">
        <v>0</v>
      </c>
      <c r="BI41" s="373">
        <v>0</v>
      </c>
      <c r="BJ41" s="373">
        <v>0</v>
      </c>
      <c r="BK41" s="373">
        <v>0</v>
      </c>
      <c r="BL41" s="373">
        <v>0</v>
      </c>
      <c r="BM41" s="373">
        <v>0</v>
      </c>
      <c r="BN41" s="373">
        <v>0</v>
      </c>
      <c r="BO41" s="373">
        <v>0</v>
      </c>
      <c r="BP41" s="373">
        <v>0</v>
      </c>
      <c r="BQ41" s="373">
        <v>0</v>
      </c>
      <c r="BR41" s="373">
        <v>0</v>
      </c>
      <c r="BS41" s="373">
        <v>0</v>
      </c>
      <c r="BT41" s="373">
        <v>0</v>
      </c>
      <c r="BU41" s="373">
        <v>0</v>
      </c>
      <c r="BV41" s="373">
        <v>0</v>
      </c>
      <c r="BW41" s="373">
        <v>0</v>
      </c>
      <c r="BX41" s="373">
        <v>0</v>
      </c>
      <c r="BY41" s="373">
        <v>0</v>
      </c>
      <c r="BZ41" s="373">
        <v>0</v>
      </c>
      <c r="CA41" s="373">
        <v>0</v>
      </c>
      <c r="CB41" s="373">
        <v>0</v>
      </c>
      <c r="CC41" s="373">
        <v>0</v>
      </c>
      <c r="CD41" s="373">
        <v>0</v>
      </c>
      <c r="CE41" s="373">
        <v>0</v>
      </c>
      <c r="CF41" s="373">
        <v>0</v>
      </c>
      <c r="CG41" s="373">
        <v>0</v>
      </c>
      <c r="CH41" s="373">
        <v>0</v>
      </c>
      <c r="CI41" s="373">
        <v>0</v>
      </c>
      <c r="CJ41" s="373">
        <v>0</v>
      </c>
      <c r="CK41" s="373">
        <v>0</v>
      </c>
      <c r="CL41" s="373">
        <v>0</v>
      </c>
      <c r="CM41" s="373">
        <v>0</v>
      </c>
      <c r="CN41" s="373">
        <v>0</v>
      </c>
      <c r="CO41" s="373">
        <v>0</v>
      </c>
      <c r="CP41" s="373">
        <v>0</v>
      </c>
      <c r="CQ41" s="373">
        <v>0</v>
      </c>
      <c r="CR41" s="373">
        <v>0</v>
      </c>
      <c r="CS41" s="373">
        <v>0</v>
      </c>
      <c r="CT41" s="373">
        <v>0</v>
      </c>
      <c r="CU41" s="373">
        <v>0</v>
      </c>
      <c r="CV41" s="373">
        <v>0</v>
      </c>
      <c r="CW41" s="373">
        <v>0</v>
      </c>
      <c r="CX41" s="373">
        <v>0</v>
      </c>
      <c r="CY41" s="373">
        <v>0</v>
      </c>
      <c r="CZ41" s="373">
        <v>0</v>
      </c>
      <c r="DA41" s="373">
        <v>0</v>
      </c>
      <c r="DB41" s="373">
        <v>0</v>
      </c>
      <c r="DC41" s="373">
        <v>0</v>
      </c>
      <c r="DD41" s="373">
        <v>0</v>
      </c>
      <c r="DE41" s="373">
        <v>0</v>
      </c>
      <c r="DF41" s="373">
        <v>0</v>
      </c>
      <c r="DG41" s="373">
        <v>0</v>
      </c>
      <c r="DH41" s="373">
        <v>0</v>
      </c>
      <c r="DI41" s="373">
        <v>0</v>
      </c>
      <c r="DJ41" s="365">
        <v>0</v>
      </c>
      <c r="DK41" s="373">
        <v>0</v>
      </c>
      <c r="DL41" s="373">
        <v>0</v>
      </c>
      <c r="DM41" s="373">
        <v>0</v>
      </c>
      <c r="DN41" s="373">
        <v>0</v>
      </c>
      <c r="DO41" s="373">
        <v>0</v>
      </c>
      <c r="DP41" s="373">
        <v>0</v>
      </c>
      <c r="DQ41" s="373">
        <v>0</v>
      </c>
      <c r="DR41" s="373">
        <v>0</v>
      </c>
      <c r="DS41" s="365">
        <v>0</v>
      </c>
      <c r="DT41" s="374">
        <f t="shared" si="24"/>
        <v>67293.245999999999</v>
      </c>
      <c r="DU41" s="375">
        <f t="shared" si="25"/>
        <v>0</v>
      </c>
      <c r="DV41" s="376"/>
      <c r="DW41" s="138" t="b">
        <f t="shared" si="26"/>
        <v>1</v>
      </c>
    </row>
    <row r="42" spans="1:127" s="138" customFormat="1" ht="12" customHeight="1">
      <c r="A42" s="169" t="s">
        <v>360</v>
      </c>
      <c r="B42" s="170"/>
      <c r="C42" s="171" t="s">
        <v>278</v>
      </c>
      <c r="D42" s="171"/>
      <c r="E42" s="365">
        <f t="shared" si="32"/>
        <v>52.44</v>
      </c>
      <c r="F42" s="365">
        <f t="shared" si="35"/>
        <v>1.08</v>
      </c>
      <c r="G42" s="365">
        <f t="shared" si="16"/>
        <v>53.519999999999996</v>
      </c>
      <c r="H42" s="365">
        <f t="shared" si="33"/>
        <v>9.06</v>
      </c>
      <c r="I42" s="365">
        <f t="shared" si="30"/>
        <v>149.1</v>
      </c>
      <c r="J42" s="366">
        <f t="shared" si="17"/>
        <v>1350.846</v>
      </c>
      <c r="K42" s="377" t="s">
        <v>361</v>
      </c>
      <c r="L42" s="378" t="s">
        <v>309</v>
      </c>
      <c r="M42" s="365">
        <v>6000</v>
      </c>
      <c r="N42" s="379">
        <f t="shared" si="34"/>
        <v>1120</v>
      </c>
      <c r="O42" s="369">
        <f t="shared" si="18"/>
        <v>67293.245999999999</v>
      </c>
      <c r="P42" s="370">
        <f t="shared" si="19"/>
        <v>1257.3476457399104</v>
      </c>
      <c r="Q42" s="172">
        <v>0.01</v>
      </c>
      <c r="R42" s="371">
        <f t="shared" si="20"/>
        <v>672.93245999999999</v>
      </c>
      <c r="S42" s="172">
        <v>0.04</v>
      </c>
      <c r="T42" s="371">
        <f t="shared" si="21"/>
        <v>2691.72984</v>
      </c>
      <c r="U42" s="372">
        <f t="shared" si="22"/>
        <v>3</v>
      </c>
      <c r="V42" s="172">
        <v>0.95</v>
      </c>
      <c r="W42" s="371">
        <f t="shared" si="23"/>
        <v>63928.583699999996</v>
      </c>
      <c r="X42" s="373"/>
      <c r="Y42" s="373"/>
      <c r="Z42" s="373"/>
      <c r="AA42" s="373"/>
      <c r="AB42" s="373"/>
      <c r="AC42" s="373"/>
      <c r="AD42" s="373">
        <f>+$R42</f>
        <v>672.93245999999999</v>
      </c>
      <c r="AE42" s="373">
        <f>+$T42/3</f>
        <v>897.24328000000003</v>
      </c>
      <c r="AF42" s="373">
        <f>+AE42</f>
        <v>897.24328000000003</v>
      </c>
      <c r="AG42" s="373">
        <f>+AF42</f>
        <v>897.24328000000003</v>
      </c>
      <c r="AH42" s="373">
        <f>+$W42</f>
        <v>63928.583699999996</v>
      </c>
      <c r="AI42" s="373">
        <v>0</v>
      </c>
      <c r="AJ42" s="373">
        <v>0</v>
      </c>
      <c r="AK42" s="373">
        <v>0</v>
      </c>
      <c r="AL42" s="373">
        <v>0</v>
      </c>
      <c r="AM42" s="373">
        <v>0</v>
      </c>
      <c r="AN42" s="373">
        <v>0</v>
      </c>
      <c r="AO42" s="373">
        <v>0</v>
      </c>
      <c r="AP42" s="373">
        <v>0</v>
      </c>
      <c r="AQ42" s="373">
        <v>0</v>
      </c>
      <c r="AR42" s="373">
        <v>0</v>
      </c>
      <c r="AS42" s="373">
        <v>0</v>
      </c>
      <c r="AT42" s="373">
        <v>0</v>
      </c>
      <c r="AU42" s="373">
        <v>0</v>
      </c>
      <c r="AV42" s="373">
        <v>0</v>
      </c>
      <c r="AW42" s="373">
        <v>0</v>
      </c>
      <c r="AX42" s="373">
        <v>0</v>
      </c>
      <c r="AY42" s="373">
        <v>0</v>
      </c>
      <c r="AZ42" s="373">
        <v>0</v>
      </c>
      <c r="BA42" s="373">
        <v>0</v>
      </c>
      <c r="BB42" s="373">
        <v>0</v>
      </c>
      <c r="BC42" s="373">
        <v>0</v>
      </c>
      <c r="BD42" s="373">
        <v>0</v>
      </c>
      <c r="BE42" s="373">
        <v>0</v>
      </c>
      <c r="BF42" s="373">
        <v>0</v>
      </c>
      <c r="BG42" s="373">
        <v>0</v>
      </c>
      <c r="BH42" s="373">
        <v>0</v>
      </c>
      <c r="BI42" s="373">
        <v>0</v>
      </c>
      <c r="BJ42" s="373">
        <v>0</v>
      </c>
      <c r="BK42" s="373">
        <v>0</v>
      </c>
      <c r="BL42" s="373">
        <v>0</v>
      </c>
      <c r="BM42" s="373">
        <v>0</v>
      </c>
      <c r="BN42" s="373">
        <v>0</v>
      </c>
      <c r="BO42" s="373">
        <v>0</v>
      </c>
      <c r="BP42" s="373">
        <v>0</v>
      </c>
      <c r="BQ42" s="373">
        <v>0</v>
      </c>
      <c r="BR42" s="373">
        <v>0</v>
      </c>
      <c r="BS42" s="373">
        <v>0</v>
      </c>
      <c r="BT42" s="373">
        <v>0</v>
      </c>
      <c r="BU42" s="373">
        <v>0</v>
      </c>
      <c r="BV42" s="373">
        <v>0</v>
      </c>
      <c r="BW42" s="373">
        <v>0</v>
      </c>
      <c r="BX42" s="373">
        <v>0</v>
      </c>
      <c r="BY42" s="373">
        <v>0</v>
      </c>
      <c r="BZ42" s="373">
        <v>0</v>
      </c>
      <c r="CA42" s="373">
        <v>0</v>
      </c>
      <c r="CB42" s="373">
        <v>0</v>
      </c>
      <c r="CC42" s="373">
        <v>0</v>
      </c>
      <c r="CD42" s="373">
        <v>0</v>
      </c>
      <c r="CE42" s="373">
        <v>0</v>
      </c>
      <c r="CF42" s="373">
        <v>0</v>
      </c>
      <c r="CG42" s="373">
        <v>0</v>
      </c>
      <c r="CH42" s="373">
        <v>0</v>
      </c>
      <c r="CI42" s="373">
        <v>0</v>
      </c>
      <c r="CJ42" s="373">
        <v>0</v>
      </c>
      <c r="CK42" s="373">
        <v>0</v>
      </c>
      <c r="CL42" s="373">
        <v>0</v>
      </c>
      <c r="CM42" s="373">
        <v>0</v>
      </c>
      <c r="CN42" s="373">
        <v>0</v>
      </c>
      <c r="CO42" s="373">
        <v>0</v>
      </c>
      <c r="CP42" s="373">
        <v>0</v>
      </c>
      <c r="CQ42" s="373">
        <v>0</v>
      </c>
      <c r="CR42" s="373">
        <v>0</v>
      </c>
      <c r="CS42" s="373">
        <v>0</v>
      </c>
      <c r="CT42" s="373">
        <v>0</v>
      </c>
      <c r="CU42" s="373">
        <v>0</v>
      </c>
      <c r="CV42" s="373">
        <v>0</v>
      </c>
      <c r="CW42" s="373">
        <v>0</v>
      </c>
      <c r="CX42" s="373">
        <v>0</v>
      </c>
      <c r="CY42" s="373">
        <v>0</v>
      </c>
      <c r="CZ42" s="373">
        <v>0</v>
      </c>
      <c r="DA42" s="373">
        <v>0</v>
      </c>
      <c r="DB42" s="373">
        <v>0</v>
      </c>
      <c r="DC42" s="373">
        <v>0</v>
      </c>
      <c r="DD42" s="373">
        <v>0</v>
      </c>
      <c r="DE42" s="373">
        <v>0</v>
      </c>
      <c r="DF42" s="373">
        <v>0</v>
      </c>
      <c r="DG42" s="373">
        <v>0</v>
      </c>
      <c r="DH42" s="373">
        <v>0</v>
      </c>
      <c r="DI42" s="373">
        <v>0</v>
      </c>
      <c r="DJ42" s="365">
        <v>0</v>
      </c>
      <c r="DK42" s="373">
        <v>0</v>
      </c>
      <c r="DL42" s="373">
        <v>0</v>
      </c>
      <c r="DM42" s="373">
        <v>0</v>
      </c>
      <c r="DN42" s="373">
        <v>0</v>
      </c>
      <c r="DO42" s="373">
        <v>0</v>
      </c>
      <c r="DP42" s="373">
        <v>0</v>
      </c>
      <c r="DQ42" s="373">
        <v>0</v>
      </c>
      <c r="DR42" s="373">
        <v>0</v>
      </c>
      <c r="DS42" s="365">
        <v>0</v>
      </c>
      <c r="DT42" s="374">
        <f t="shared" si="24"/>
        <v>67293.245999999999</v>
      </c>
      <c r="DU42" s="375">
        <f t="shared" si="25"/>
        <v>0</v>
      </c>
      <c r="DV42" s="376"/>
      <c r="DW42" s="138" t="b">
        <f t="shared" si="26"/>
        <v>1</v>
      </c>
    </row>
    <row r="43" spans="1:127" s="138" customFormat="1" ht="12" customHeight="1">
      <c r="A43" s="169" t="s">
        <v>362</v>
      </c>
      <c r="B43" s="170"/>
      <c r="C43" s="171" t="s">
        <v>278</v>
      </c>
      <c r="D43" s="171"/>
      <c r="E43" s="365">
        <f t="shared" si="32"/>
        <v>52.44</v>
      </c>
      <c r="F43" s="365">
        <f t="shared" si="35"/>
        <v>1.08</v>
      </c>
      <c r="G43" s="365">
        <f t="shared" si="16"/>
        <v>53.519999999999996</v>
      </c>
      <c r="H43" s="365">
        <f t="shared" si="33"/>
        <v>9.06</v>
      </c>
      <c r="I43" s="365">
        <f t="shared" si="30"/>
        <v>149.1</v>
      </c>
      <c r="J43" s="366">
        <f t="shared" si="17"/>
        <v>1350.846</v>
      </c>
      <c r="K43" s="377" t="s">
        <v>363</v>
      </c>
      <c r="L43" s="378" t="s">
        <v>309</v>
      </c>
      <c r="M43" s="365">
        <v>6000</v>
      </c>
      <c r="N43" s="379">
        <f t="shared" si="34"/>
        <v>1120</v>
      </c>
      <c r="O43" s="369">
        <f t="shared" si="18"/>
        <v>67293.245999999999</v>
      </c>
      <c r="P43" s="370">
        <f t="shared" si="19"/>
        <v>1257.3476457399104</v>
      </c>
      <c r="Q43" s="172">
        <v>0.01</v>
      </c>
      <c r="R43" s="371">
        <f t="shared" si="20"/>
        <v>672.93245999999999</v>
      </c>
      <c r="S43" s="172">
        <v>0.04</v>
      </c>
      <c r="T43" s="371">
        <f t="shared" si="21"/>
        <v>2691.72984</v>
      </c>
      <c r="U43" s="372">
        <f t="shared" si="22"/>
        <v>1</v>
      </c>
      <c r="V43" s="172">
        <v>0.95</v>
      </c>
      <c r="W43" s="371">
        <f t="shared" si="23"/>
        <v>63928.583699999996</v>
      </c>
      <c r="X43" s="373"/>
      <c r="Y43" s="373"/>
      <c r="Z43" s="373"/>
      <c r="AA43" s="373"/>
      <c r="AB43" s="373"/>
      <c r="AC43" s="373"/>
      <c r="AD43" s="373">
        <f>+$R43</f>
        <v>672.93245999999999</v>
      </c>
      <c r="AE43" s="373">
        <f>+$T43/1</f>
        <v>2691.72984</v>
      </c>
      <c r="AF43" s="373">
        <f>+$W43</f>
        <v>63928.583699999996</v>
      </c>
      <c r="AG43" s="373">
        <v>0</v>
      </c>
      <c r="AH43" s="373">
        <v>0</v>
      </c>
      <c r="AI43" s="373">
        <v>0</v>
      </c>
      <c r="AJ43" s="373">
        <v>0</v>
      </c>
      <c r="AK43" s="373">
        <v>0</v>
      </c>
      <c r="AL43" s="373">
        <v>0</v>
      </c>
      <c r="AM43" s="373">
        <v>0</v>
      </c>
      <c r="AN43" s="373">
        <v>0</v>
      </c>
      <c r="AO43" s="373">
        <v>0</v>
      </c>
      <c r="AP43" s="373">
        <v>0</v>
      </c>
      <c r="AQ43" s="373">
        <v>0</v>
      </c>
      <c r="AR43" s="373">
        <v>0</v>
      </c>
      <c r="AS43" s="373">
        <v>0</v>
      </c>
      <c r="AT43" s="373">
        <v>0</v>
      </c>
      <c r="AU43" s="373">
        <v>0</v>
      </c>
      <c r="AV43" s="373">
        <v>0</v>
      </c>
      <c r="AW43" s="373">
        <v>0</v>
      </c>
      <c r="AX43" s="373">
        <v>0</v>
      </c>
      <c r="AY43" s="373">
        <v>0</v>
      </c>
      <c r="AZ43" s="373">
        <v>0</v>
      </c>
      <c r="BA43" s="373">
        <v>0</v>
      </c>
      <c r="BB43" s="373">
        <v>0</v>
      </c>
      <c r="BC43" s="373">
        <v>0</v>
      </c>
      <c r="BD43" s="373">
        <v>0</v>
      </c>
      <c r="BE43" s="373">
        <v>0</v>
      </c>
      <c r="BF43" s="373">
        <v>0</v>
      </c>
      <c r="BG43" s="373">
        <v>0</v>
      </c>
      <c r="BH43" s="373">
        <v>0</v>
      </c>
      <c r="BI43" s="373">
        <v>0</v>
      </c>
      <c r="BJ43" s="373">
        <v>0</v>
      </c>
      <c r="BK43" s="373">
        <v>0</v>
      </c>
      <c r="BL43" s="373">
        <v>0</v>
      </c>
      <c r="BM43" s="373">
        <v>0</v>
      </c>
      <c r="BN43" s="373">
        <v>0</v>
      </c>
      <c r="BO43" s="373">
        <v>0</v>
      </c>
      <c r="BP43" s="373">
        <v>0</v>
      </c>
      <c r="BQ43" s="373">
        <v>0</v>
      </c>
      <c r="BR43" s="373">
        <v>0</v>
      </c>
      <c r="BS43" s="373">
        <v>0</v>
      </c>
      <c r="BT43" s="373">
        <v>0</v>
      </c>
      <c r="BU43" s="373">
        <v>0</v>
      </c>
      <c r="BV43" s="373">
        <v>0</v>
      </c>
      <c r="BW43" s="373">
        <v>0</v>
      </c>
      <c r="BX43" s="373">
        <v>0</v>
      </c>
      <c r="BY43" s="373">
        <v>0</v>
      </c>
      <c r="BZ43" s="373">
        <v>0</v>
      </c>
      <c r="CA43" s="373">
        <v>0</v>
      </c>
      <c r="CB43" s="373">
        <v>0</v>
      </c>
      <c r="CC43" s="373">
        <v>0</v>
      </c>
      <c r="CD43" s="373">
        <v>0</v>
      </c>
      <c r="CE43" s="373">
        <v>0</v>
      </c>
      <c r="CF43" s="373">
        <v>0</v>
      </c>
      <c r="CG43" s="373">
        <v>0</v>
      </c>
      <c r="CH43" s="373">
        <v>0</v>
      </c>
      <c r="CI43" s="373">
        <v>0</v>
      </c>
      <c r="CJ43" s="373">
        <v>0</v>
      </c>
      <c r="CK43" s="373">
        <v>0</v>
      </c>
      <c r="CL43" s="373">
        <v>0</v>
      </c>
      <c r="CM43" s="373">
        <v>0</v>
      </c>
      <c r="CN43" s="373">
        <v>0</v>
      </c>
      <c r="CO43" s="373">
        <v>0</v>
      </c>
      <c r="CP43" s="373">
        <v>0</v>
      </c>
      <c r="CQ43" s="373">
        <v>0</v>
      </c>
      <c r="CR43" s="373">
        <v>0</v>
      </c>
      <c r="CS43" s="373">
        <v>0</v>
      </c>
      <c r="CT43" s="373">
        <v>0</v>
      </c>
      <c r="CU43" s="373">
        <v>0</v>
      </c>
      <c r="CV43" s="373">
        <v>0</v>
      </c>
      <c r="CW43" s="373">
        <v>0</v>
      </c>
      <c r="CX43" s="373">
        <v>0</v>
      </c>
      <c r="CY43" s="373">
        <v>0</v>
      </c>
      <c r="CZ43" s="373">
        <v>0</v>
      </c>
      <c r="DA43" s="373">
        <v>0</v>
      </c>
      <c r="DB43" s="373">
        <v>0</v>
      </c>
      <c r="DC43" s="373">
        <v>0</v>
      </c>
      <c r="DD43" s="373">
        <v>0</v>
      </c>
      <c r="DE43" s="373">
        <v>0</v>
      </c>
      <c r="DF43" s="373">
        <v>0</v>
      </c>
      <c r="DG43" s="373">
        <v>0</v>
      </c>
      <c r="DH43" s="373">
        <v>0</v>
      </c>
      <c r="DI43" s="373">
        <v>0</v>
      </c>
      <c r="DJ43" s="365">
        <v>0</v>
      </c>
      <c r="DK43" s="373">
        <v>0</v>
      </c>
      <c r="DL43" s="373">
        <v>0</v>
      </c>
      <c r="DM43" s="373">
        <v>0</v>
      </c>
      <c r="DN43" s="373">
        <v>0</v>
      </c>
      <c r="DO43" s="373">
        <v>0</v>
      </c>
      <c r="DP43" s="373">
        <v>0</v>
      </c>
      <c r="DQ43" s="373">
        <v>0</v>
      </c>
      <c r="DR43" s="373">
        <v>0</v>
      </c>
      <c r="DS43" s="365">
        <v>0</v>
      </c>
      <c r="DT43" s="374">
        <f t="shared" si="24"/>
        <v>67293.245999999999</v>
      </c>
      <c r="DU43" s="375">
        <f t="shared" si="25"/>
        <v>0</v>
      </c>
      <c r="DV43" s="376"/>
      <c r="DW43" s="138" t="b">
        <f t="shared" si="26"/>
        <v>1</v>
      </c>
    </row>
    <row r="44" spans="1:127" s="138" customFormat="1" ht="12" customHeight="1">
      <c r="A44" s="169" t="s">
        <v>364</v>
      </c>
      <c r="B44" s="170"/>
      <c r="C44" s="171" t="s">
        <v>278</v>
      </c>
      <c r="D44" s="171"/>
      <c r="E44" s="365">
        <f t="shared" si="32"/>
        <v>52.44</v>
      </c>
      <c r="F44" s="365">
        <f t="shared" si="35"/>
        <v>1.08</v>
      </c>
      <c r="G44" s="365">
        <f t="shared" si="16"/>
        <v>53.519999999999996</v>
      </c>
      <c r="H44" s="365">
        <f t="shared" si="33"/>
        <v>9.06</v>
      </c>
      <c r="I44" s="365">
        <f t="shared" si="30"/>
        <v>149.1</v>
      </c>
      <c r="J44" s="366">
        <f t="shared" si="17"/>
        <v>1350.846</v>
      </c>
      <c r="K44" s="377" t="s">
        <v>365</v>
      </c>
      <c r="L44" s="378" t="s">
        <v>309</v>
      </c>
      <c r="M44" s="365">
        <v>6000</v>
      </c>
      <c r="N44" s="379">
        <f t="shared" si="34"/>
        <v>1120</v>
      </c>
      <c r="O44" s="369">
        <f t="shared" si="18"/>
        <v>67293.245999999999</v>
      </c>
      <c r="P44" s="370">
        <f t="shared" si="19"/>
        <v>1257.3476457399104</v>
      </c>
      <c r="Q44" s="172">
        <v>0.01</v>
      </c>
      <c r="R44" s="371">
        <f t="shared" si="20"/>
        <v>672.93245999999999</v>
      </c>
      <c r="S44" s="172">
        <v>0.04</v>
      </c>
      <c r="T44" s="371">
        <f t="shared" si="21"/>
        <v>2691.72984</v>
      </c>
      <c r="U44" s="372">
        <f t="shared" si="22"/>
        <v>5</v>
      </c>
      <c r="V44" s="172">
        <v>0.95</v>
      </c>
      <c r="W44" s="371">
        <f t="shared" si="23"/>
        <v>63928.583699999996</v>
      </c>
      <c r="X44" s="373"/>
      <c r="Y44" s="373"/>
      <c r="Z44" s="373"/>
      <c r="AA44" s="373"/>
      <c r="AB44" s="373"/>
      <c r="AC44" s="373"/>
      <c r="AD44" s="373"/>
      <c r="AE44" s="373">
        <f>+$R44</f>
        <v>672.93245999999999</v>
      </c>
      <c r="AF44" s="373">
        <f>+$T44/5</f>
        <v>538.34596799999997</v>
      </c>
      <c r="AG44" s="373">
        <f>+AF44</f>
        <v>538.34596799999997</v>
      </c>
      <c r="AH44" s="373">
        <f>+AG44</f>
        <v>538.34596799999997</v>
      </c>
      <c r="AI44" s="373">
        <f>+AH44</f>
        <v>538.34596799999997</v>
      </c>
      <c r="AJ44" s="373">
        <f>+AI44</f>
        <v>538.34596799999997</v>
      </c>
      <c r="AK44" s="373">
        <f>+$W44</f>
        <v>63928.583699999996</v>
      </c>
      <c r="AL44" s="373">
        <v>0</v>
      </c>
      <c r="AM44" s="373">
        <v>0</v>
      </c>
      <c r="AN44" s="373">
        <v>0</v>
      </c>
      <c r="AO44" s="373">
        <v>0</v>
      </c>
      <c r="AP44" s="373">
        <v>0</v>
      </c>
      <c r="AQ44" s="373">
        <v>0</v>
      </c>
      <c r="AR44" s="373">
        <v>0</v>
      </c>
      <c r="AS44" s="373">
        <v>0</v>
      </c>
      <c r="AT44" s="373">
        <v>0</v>
      </c>
      <c r="AU44" s="373">
        <v>0</v>
      </c>
      <c r="AV44" s="373">
        <v>0</v>
      </c>
      <c r="AW44" s="373">
        <v>0</v>
      </c>
      <c r="AX44" s="373">
        <v>0</v>
      </c>
      <c r="AY44" s="373">
        <v>0</v>
      </c>
      <c r="AZ44" s="373">
        <v>0</v>
      </c>
      <c r="BA44" s="373">
        <v>0</v>
      </c>
      <c r="BB44" s="373">
        <v>0</v>
      </c>
      <c r="BC44" s="373">
        <v>0</v>
      </c>
      <c r="BD44" s="373">
        <v>0</v>
      </c>
      <c r="BE44" s="373">
        <v>0</v>
      </c>
      <c r="BF44" s="373">
        <v>0</v>
      </c>
      <c r="BG44" s="373">
        <v>0</v>
      </c>
      <c r="BH44" s="373">
        <v>0</v>
      </c>
      <c r="BI44" s="373">
        <v>0</v>
      </c>
      <c r="BJ44" s="373">
        <v>0</v>
      </c>
      <c r="BK44" s="373">
        <v>0</v>
      </c>
      <c r="BL44" s="373">
        <v>0</v>
      </c>
      <c r="BM44" s="373">
        <v>0</v>
      </c>
      <c r="BN44" s="373">
        <v>0</v>
      </c>
      <c r="BO44" s="373">
        <v>0</v>
      </c>
      <c r="BP44" s="373">
        <v>0</v>
      </c>
      <c r="BQ44" s="373">
        <v>0</v>
      </c>
      <c r="BR44" s="373">
        <v>0</v>
      </c>
      <c r="BS44" s="373">
        <v>0</v>
      </c>
      <c r="BT44" s="373">
        <v>0</v>
      </c>
      <c r="BU44" s="373">
        <v>0</v>
      </c>
      <c r="BV44" s="373">
        <v>0</v>
      </c>
      <c r="BW44" s="373">
        <v>0</v>
      </c>
      <c r="BX44" s="373">
        <v>0</v>
      </c>
      <c r="BY44" s="373">
        <v>0</v>
      </c>
      <c r="BZ44" s="373">
        <v>0</v>
      </c>
      <c r="CA44" s="373">
        <v>0</v>
      </c>
      <c r="CB44" s="373">
        <v>0</v>
      </c>
      <c r="CC44" s="373">
        <v>0</v>
      </c>
      <c r="CD44" s="373">
        <v>0</v>
      </c>
      <c r="CE44" s="373">
        <v>0</v>
      </c>
      <c r="CF44" s="373">
        <v>0</v>
      </c>
      <c r="CG44" s="373">
        <v>0</v>
      </c>
      <c r="CH44" s="373">
        <v>0</v>
      </c>
      <c r="CI44" s="373">
        <v>0</v>
      </c>
      <c r="CJ44" s="373">
        <v>0</v>
      </c>
      <c r="CK44" s="373">
        <v>0</v>
      </c>
      <c r="CL44" s="373">
        <v>0</v>
      </c>
      <c r="CM44" s="373">
        <v>0</v>
      </c>
      <c r="CN44" s="373">
        <v>0</v>
      </c>
      <c r="CO44" s="373">
        <v>0</v>
      </c>
      <c r="CP44" s="373">
        <v>0</v>
      </c>
      <c r="CQ44" s="373">
        <v>0</v>
      </c>
      <c r="CR44" s="373">
        <v>0</v>
      </c>
      <c r="CS44" s="373">
        <v>0</v>
      </c>
      <c r="CT44" s="373">
        <v>0</v>
      </c>
      <c r="CU44" s="373">
        <v>0</v>
      </c>
      <c r="CV44" s="373">
        <v>0</v>
      </c>
      <c r="CW44" s="373">
        <v>0</v>
      </c>
      <c r="CX44" s="373">
        <v>0</v>
      </c>
      <c r="CY44" s="373">
        <v>0</v>
      </c>
      <c r="CZ44" s="373">
        <v>0</v>
      </c>
      <c r="DA44" s="373">
        <v>0</v>
      </c>
      <c r="DB44" s="373">
        <v>0</v>
      </c>
      <c r="DC44" s="373">
        <v>0</v>
      </c>
      <c r="DD44" s="373">
        <v>0</v>
      </c>
      <c r="DE44" s="373">
        <v>0</v>
      </c>
      <c r="DF44" s="373">
        <v>0</v>
      </c>
      <c r="DG44" s="373">
        <v>0</v>
      </c>
      <c r="DH44" s="373">
        <v>0</v>
      </c>
      <c r="DI44" s="373">
        <v>0</v>
      </c>
      <c r="DJ44" s="365">
        <v>0</v>
      </c>
      <c r="DK44" s="373">
        <v>0</v>
      </c>
      <c r="DL44" s="373">
        <v>0</v>
      </c>
      <c r="DM44" s="373">
        <v>0</v>
      </c>
      <c r="DN44" s="373">
        <v>0</v>
      </c>
      <c r="DO44" s="373">
        <v>0</v>
      </c>
      <c r="DP44" s="373">
        <v>0</v>
      </c>
      <c r="DQ44" s="373">
        <v>0</v>
      </c>
      <c r="DR44" s="373">
        <v>0</v>
      </c>
      <c r="DS44" s="365">
        <v>0</v>
      </c>
      <c r="DT44" s="374">
        <f t="shared" si="24"/>
        <v>67293.245999999999</v>
      </c>
      <c r="DU44" s="375">
        <f t="shared" si="25"/>
        <v>0</v>
      </c>
      <c r="DV44" s="376"/>
      <c r="DW44" s="138" t="b">
        <f t="shared" si="26"/>
        <v>1</v>
      </c>
    </row>
    <row r="45" spans="1:127" s="138" customFormat="1" ht="12" customHeight="1">
      <c r="A45" s="169" t="s">
        <v>366</v>
      </c>
      <c r="B45" s="170"/>
      <c r="C45" s="171" t="s">
        <v>278</v>
      </c>
      <c r="D45" s="171"/>
      <c r="E45" s="365">
        <f t="shared" si="32"/>
        <v>52.44</v>
      </c>
      <c r="F45" s="365">
        <f t="shared" si="35"/>
        <v>1.08</v>
      </c>
      <c r="G45" s="365">
        <f t="shared" si="16"/>
        <v>53.519999999999996</v>
      </c>
      <c r="H45" s="365">
        <f t="shared" si="33"/>
        <v>9.06</v>
      </c>
      <c r="I45" s="365">
        <f t="shared" si="30"/>
        <v>149.1</v>
      </c>
      <c r="J45" s="366">
        <f t="shared" si="17"/>
        <v>1350.846</v>
      </c>
      <c r="K45" s="377" t="s">
        <v>367</v>
      </c>
      <c r="L45" s="378" t="s">
        <v>309</v>
      </c>
      <c r="M45" s="365">
        <v>6000</v>
      </c>
      <c r="N45" s="379">
        <f t="shared" si="34"/>
        <v>1120</v>
      </c>
      <c r="O45" s="369">
        <f t="shared" si="18"/>
        <v>67293.245999999999</v>
      </c>
      <c r="P45" s="370">
        <f t="shared" si="19"/>
        <v>1257.3476457399104</v>
      </c>
      <c r="Q45" s="172">
        <v>0.01</v>
      </c>
      <c r="R45" s="371">
        <f t="shared" si="20"/>
        <v>672.93245999999999</v>
      </c>
      <c r="S45" s="172">
        <v>0.04</v>
      </c>
      <c r="T45" s="371">
        <f t="shared" si="21"/>
        <v>2691.72984</v>
      </c>
      <c r="U45" s="372">
        <f t="shared" si="22"/>
        <v>3</v>
      </c>
      <c r="V45" s="172">
        <v>0.95</v>
      </c>
      <c r="W45" s="371">
        <f t="shared" si="23"/>
        <v>63928.583699999996</v>
      </c>
      <c r="X45" s="373"/>
      <c r="Y45" s="373"/>
      <c r="Z45" s="373"/>
      <c r="AA45" s="373"/>
      <c r="AB45" s="373"/>
      <c r="AC45" s="373"/>
      <c r="AD45" s="373"/>
      <c r="AE45" s="373">
        <f>+$R45</f>
        <v>672.93245999999999</v>
      </c>
      <c r="AF45" s="373">
        <f>+$T45/3</f>
        <v>897.24328000000003</v>
      </c>
      <c r="AG45" s="373">
        <f>+AF45</f>
        <v>897.24328000000003</v>
      </c>
      <c r="AH45" s="373">
        <f>+AG45</f>
        <v>897.24328000000003</v>
      </c>
      <c r="AI45" s="373">
        <f>+$W45</f>
        <v>63928.583699999996</v>
      </c>
      <c r="AJ45" s="373">
        <v>0</v>
      </c>
      <c r="AK45" s="373">
        <v>0</v>
      </c>
      <c r="AL45" s="373">
        <v>0</v>
      </c>
      <c r="AM45" s="373">
        <v>0</v>
      </c>
      <c r="AN45" s="373">
        <v>0</v>
      </c>
      <c r="AO45" s="373">
        <v>0</v>
      </c>
      <c r="AP45" s="373">
        <v>0</v>
      </c>
      <c r="AQ45" s="373">
        <v>0</v>
      </c>
      <c r="AR45" s="373">
        <v>0</v>
      </c>
      <c r="AS45" s="373">
        <v>0</v>
      </c>
      <c r="AT45" s="373">
        <v>0</v>
      </c>
      <c r="AU45" s="373">
        <v>0</v>
      </c>
      <c r="AV45" s="373">
        <v>0</v>
      </c>
      <c r="AW45" s="373">
        <v>0</v>
      </c>
      <c r="AX45" s="373">
        <v>0</v>
      </c>
      <c r="AY45" s="373">
        <v>0</v>
      </c>
      <c r="AZ45" s="373">
        <v>0</v>
      </c>
      <c r="BA45" s="373">
        <v>0</v>
      </c>
      <c r="BB45" s="373">
        <v>0</v>
      </c>
      <c r="BC45" s="373">
        <v>0</v>
      </c>
      <c r="BD45" s="373">
        <v>0</v>
      </c>
      <c r="BE45" s="373">
        <v>0</v>
      </c>
      <c r="BF45" s="373">
        <v>0</v>
      </c>
      <c r="BG45" s="373">
        <v>0</v>
      </c>
      <c r="BH45" s="373">
        <v>0</v>
      </c>
      <c r="BI45" s="373">
        <v>0</v>
      </c>
      <c r="BJ45" s="373">
        <v>0</v>
      </c>
      <c r="BK45" s="373">
        <v>0</v>
      </c>
      <c r="BL45" s="373">
        <v>0</v>
      </c>
      <c r="BM45" s="373">
        <v>0</v>
      </c>
      <c r="BN45" s="373">
        <v>0</v>
      </c>
      <c r="BO45" s="373">
        <v>0</v>
      </c>
      <c r="BP45" s="373">
        <v>0</v>
      </c>
      <c r="BQ45" s="373">
        <v>0</v>
      </c>
      <c r="BR45" s="373">
        <v>0</v>
      </c>
      <c r="BS45" s="373">
        <v>0</v>
      </c>
      <c r="BT45" s="373">
        <v>0</v>
      </c>
      <c r="BU45" s="373">
        <v>0</v>
      </c>
      <c r="BV45" s="373">
        <v>0</v>
      </c>
      <c r="BW45" s="373">
        <v>0</v>
      </c>
      <c r="BX45" s="373">
        <v>0</v>
      </c>
      <c r="BY45" s="373">
        <v>0</v>
      </c>
      <c r="BZ45" s="373">
        <v>0</v>
      </c>
      <c r="CA45" s="373">
        <v>0</v>
      </c>
      <c r="CB45" s="373">
        <v>0</v>
      </c>
      <c r="CC45" s="373">
        <v>0</v>
      </c>
      <c r="CD45" s="373">
        <v>0</v>
      </c>
      <c r="CE45" s="373">
        <v>0</v>
      </c>
      <c r="CF45" s="373">
        <v>0</v>
      </c>
      <c r="CG45" s="373">
        <v>0</v>
      </c>
      <c r="CH45" s="373">
        <v>0</v>
      </c>
      <c r="CI45" s="373">
        <v>0</v>
      </c>
      <c r="CJ45" s="373">
        <v>0</v>
      </c>
      <c r="CK45" s="373">
        <v>0</v>
      </c>
      <c r="CL45" s="373">
        <v>0</v>
      </c>
      <c r="CM45" s="373">
        <v>0</v>
      </c>
      <c r="CN45" s="373">
        <v>0</v>
      </c>
      <c r="CO45" s="373">
        <v>0</v>
      </c>
      <c r="CP45" s="373">
        <v>0</v>
      </c>
      <c r="CQ45" s="373">
        <v>0</v>
      </c>
      <c r="CR45" s="373">
        <v>0</v>
      </c>
      <c r="CS45" s="373">
        <v>0</v>
      </c>
      <c r="CT45" s="373">
        <v>0</v>
      </c>
      <c r="CU45" s="373">
        <v>0</v>
      </c>
      <c r="CV45" s="373">
        <v>0</v>
      </c>
      <c r="CW45" s="373">
        <v>0</v>
      </c>
      <c r="CX45" s="373">
        <v>0</v>
      </c>
      <c r="CY45" s="373">
        <v>0</v>
      </c>
      <c r="CZ45" s="373">
        <v>0</v>
      </c>
      <c r="DA45" s="373">
        <v>0</v>
      </c>
      <c r="DB45" s="373">
        <v>0</v>
      </c>
      <c r="DC45" s="373">
        <v>0</v>
      </c>
      <c r="DD45" s="373">
        <v>0</v>
      </c>
      <c r="DE45" s="373">
        <v>0</v>
      </c>
      <c r="DF45" s="373">
        <v>0</v>
      </c>
      <c r="DG45" s="373">
        <v>0</v>
      </c>
      <c r="DH45" s="373">
        <v>0</v>
      </c>
      <c r="DI45" s="373">
        <v>0</v>
      </c>
      <c r="DJ45" s="365">
        <v>0</v>
      </c>
      <c r="DK45" s="373">
        <v>0</v>
      </c>
      <c r="DL45" s="373">
        <v>0</v>
      </c>
      <c r="DM45" s="373">
        <v>0</v>
      </c>
      <c r="DN45" s="373">
        <v>0</v>
      </c>
      <c r="DO45" s="373">
        <v>0</v>
      </c>
      <c r="DP45" s="373">
        <v>0</v>
      </c>
      <c r="DQ45" s="373">
        <v>0</v>
      </c>
      <c r="DR45" s="373">
        <v>0</v>
      </c>
      <c r="DS45" s="365">
        <v>0</v>
      </c>
      <c r="DT45" s="374">
        <f t="shared" si="24"/>
        <v>67293.245999999999</v>
      </c>
      <c r="DU45" s="375">
        <f t="shared" si="25"/>
        <v>0</v>
      </c>
      <c r="DV45" s="376"/>
      <c r="DW45" s="138" t="b">
        <f t="shared" si="26"/>
        <v>1</v>
      </c>
    </row>
    <row r="46" spans="1:127" s="138" customFormat="1" ht="12" customHeight="1">
      <c r="A46" s="169" t="s">
        <v>368</v>
      </c>
      <c r="B46" s="170"/>
      <c r="C46" s="171" t="s">
        <v>278</v>
      </c>
      <c r="D46" s="171"/>
      <c r="E46" s="365">
        <f t="shared" si="32"/>
        <v>52.44</v>
      </c>
      <c r="F46" s="365">
        <f t="shared" si="35"/>
        <v>1.08</v>
      </c>
      <c r="G46" s="365">
        <f t="shared" si="16"/>
        <v>53.519999999999996</v>
      </c>
      <c r="H46" s="365">
        <f t="shared" si="33"/>
        <v>9.06</v>
      </c>
      <c r="I46" s="365">
        <f t="shared" si="30"/>
        <v>149.1</v>
      </c>
      <c r="J46" s="366">
        <f t="shared" si="17"/>
        <v>1350.846</v>
      </c>
      <c r="K46" s="377" t="s">
        <v>369</v>
      </c>
      <c r="L46" s="378" t="s">
        <v>309</v>
      </c>
      <c r="M46" s="365">
        <v>6000</v>
      </c>
      <c r="N46" s="379">
        <f t="shared" si="34"/>
        <v>1120</v>
      </c>
      <c r="O46" s="369">
        <f t="shared" si="18"/>
        <v>67293.245999999999</v>
      </c>
      <c r="P46" s="370">
        <f t="shared" si="19"/>
        <v>1257.3476457399104</v>
      </c>
      <c r="Q46" s="172">
        <v>0.01</v>
      </c>
      <c r="R46" s="371">
        <f t="shared" si="20"/>
        <v>672.93245999999999</v>
      </c>
      <c r="S46" s="172">
        <v>0.04</v>
      </c>
      <c r="T46" s="371">
        <f t="shared" si="21"/>
        <v>2691.72984</v>
      </c>
      <c r="U46" s="372">
        <f t="shared" si="22"/>
        <v>1</v>
      </c>
      <c r="V46" s="172">
        <v>0.95</v>
      </c>
      <c r="W46" s="371">
        <f t="shared" si="23"/>
        <v>63928.583699999996</v>
      </c>
      <c r="X46" s="373"/>
      <c r="Y46" s="373"/>
      <c r="Z46" s="373"/>
      <c r="AA46" s="373"/>
      <c r="AB46" s="373"/>
      <c r="AC46" s="373"/>
      <c r="AD46" s="373"/>
      <c r="AE46" s="373"/>
      <c r="AF46" s="373">
        <f>+$R46</f>
        <v>672.93245999999999</v>
      </c>
      <c r="AG46" s="373">
        <f>+$T46/1</f>
        <v>2691.72984</v>
      </c>
      <c r="AH46" s="373">
        <f>+$W46</f>
        <v>63928.583699999996</v>
      </c>
      <c r="AI46" s="373">
        <v>0</v>
      </c>
      <c r="AJ46" s="373">
        <v>0</v>
      </c>
      <c r="AK46" s="373">
        <v>0</v>
      </c>
      <c r="AL46" s="373">
        <v>0</v>
      </c>
      <c r="AM46" s="373">
        <v>0</v>
      </c>
      <c r="AN46" s="373">
        <v>0</v>
      </c>
      <c r="AO46" s="373">
        <v>0</v>
      </c>
      <c r="AP46" s="373">
        <v>0</v>
      </c>
      <c r="AQ46" s="373">
        <v>0</v>
      </c>
      <c r="AR46" s="373">
        <v>0</v>
      </c>
      <c r="AS46" s="373">
        <v>0</v>
      </c>
      <c r="AT46" s="373">
        <v>0</v>
      </c>
      <c r="AU46" s="373">
        <v>0</v>
      </c>
      <c r="AV46" s="373">
        <v>0</v>
      </c>
      <c r="AW46" s="373">
        <v>0</v>
      </c>
      <c r="AX46" s="373">
        <v>0</v>
      </c>
      <c r="AY46" s="373">
        <v>0</v>
      </c>
      <c r="AZ46" s="373">
        <v>0</v>
      </c>
      <c r="BA46" s="373">
        <v>0</v>
      </c>
      <c r="BB46" s="373">
        <v>0</v>
      </c>
      <c r="BC46" s="373">
        <v>0</v>
      </c>
      <c r="BD46" s="373">
        <v>0</v>
      </c>
      <c r="BE46" s="373">
        <v>0</v>
      </c>
      <c r="BF46" s="373">
        <v>0</v>
      </c>
      <c r="BG46" s="373">
        <v>0</v>
      </c>
      <c r="BH46" s="373">
        <v>0</v>
      </c>
      <c r="BI46" s="373">
        <v>0</v>
      </c>
      <c r="BJ46" s="373">
        <v>0</v>
      </c>
      <c r="BK46" s="373">
        <v>0</v>
      </c>
      <c r="BL46" s="373">
        <v>0</v>
      </c>
      <c r="BM46" s="373">
        <v>0</v>
      </c>
      <c r="BN46" s="373">
        <v>0</v>
      </c>
      <c r="BO46" s="373">
        <v>0</v>
      </c>
      <c r="BP46" s="373">
        <v>0</v>
      </c>
      <c r="BQ46" s="373">
        <v>0</v>
      </c>
      <c r="BR46" s="373">
        <v>0</v>
      </c>
      <c r="BS46" s="373">
        <v>0</v>
      </c>
      <c r="BT46" s="373">
        <v>0</v>
      </c>
      <c r="BU46" s="373">
        <v>0</v>
      </c>
      <c r="BV46" s="373">
        <v>0</v>
      </c>
      <c r="BW46" s="373">
        <v>0</v>
      </c>
      <c r="BX46" s="373">
        <v>0</v>
      </c>
      <c r="BY46" s="373">
        <v>0</v>
      </c>
      <c r="BZ46" s="373">
        <v>0</v>
      </c>
      <c r="CA46" s="373">
        <v>0</v>
      </c>
      <c r="CB46" s="373">
        <v>0</v>
      </c>
      <c r="CC46" s="373">
        <v>0</v>
      </c>
      <c r="CD46" s="373">
        <v>0</v>
      </c>
      <c r="CE46" s="373">
        <v>0</v>
      </c>
      <c r="CF46" s="373">
        <v>0</v>
      </c>
      <c r="CG46" s="373">
        <v>0</v>
      </c>
      <c r="CH46" s="373">
        <v>0</v>
      </c>
      <c r="CI46" s="373">
        <v>0</v>
      </c>
      <c r="CJ46" s="373">
        <v>0</v>
      </c>
      <c r="CK46" s="373">
        <v>0</v>
      </c>
      <c r="CL46" s="373">
        <v>0</v>
      </c>
      <c r="CM46" s="373">
        <v>0</v>
      </c>
      <c r="CN46" s="373">
        <v>0</v>
      </c>
      <c r="CO46" s="373">
        <v>0</v>
      </c>
      <c r="CP46" s="373">
        <v>0</v>
      </c>
      <c r="CQ46" s="373">
        <v>0</v>
      </c>
      <c r="CR46" s="373">
        <v>0</v>
      </c>
      <c r="CS46" s="373">
        <v>0</v>
      </c>
      <c r="CT46" s="373">
        <v>0</v>
      </c>
      <c r="CU46" s="373">
        <v>0</v>
      </c>
      <c r="CV46" s="373">
        <v>0</v>
      </c>
      <c r="CW46" s="373">
        <v>0</v>
      </c>
      <c r="CX46" s="373">
        <v>0</v>
      </c>
      <c r="CY46" s="373">
        <v>0</v>
      </c>
      <c r="CZ46" s="373">
        <v>0</v>
      </c>
      <c r="DA46" s="373">
        <v>0</v>
      </c>
      <c r="DB46" s="373">
        <v>0</v>
      </c>
      <c r="DC46" s="373">
        <v>0</v>
      </c>
      <c r="DD46" s="373">
        <v>0</v>
      </c>
      <c r="DE46" s="373">
        <v>0</v>
      </c>
      <c r="DF46" s="373">
        <v>0</v>
      </c>
      <c r="DG46" s="373">
        <v>0</v>
      </c>
      <c r="DH46" s="373">
        <v>0</v>
      </c>
      <c r="DI46" s="373">
        <v>0</v>
      </c>
      <c r="DJ46" s="365">
        <v>0</v>
      </c>
      <c r="DK46" s="373">
        <v>0</v>
      </c>
      <c r="DL46" s="373">
        <v>0</v>
      </c>
      <c r="DM46" s="373">
        <v>0</v>
      </c>
      <c r="DN46" s="373">
        <v>0</v>
      </c>
      <c r="DO46" s="373">
        <v>0</v>
      </c>
      <c r="DP46" s="373">
        <v>0</v>
      </c>
      <c r="DQ46" s="373">
        <v>0</v>
      </c>
      <c r="DR46" s="373">
        <v>0</v>
      </c>
      <c r="DS46" s="365">
        <v>0</v>
      </c>
      <c r="DT46" s="374">
        <f t="shared" si="24"/>
        <v>67293.245999999999</v>
      </c>
      <c r="DU46" s="375">
        <f t="shared" si="25"/>
        <v>0</v>
      </c>
      <c r="DV46" s="376"/>
      <c r="DW46" s="138" t="b">
        <f t="shared" si="26"/>
        <v>1</v>
      </c>
    </row>
    <row r="47" spans="1:127" s="138" customFormat="1" ht="12" customHeight="1">
      <c r="A47" s="169" t="s">
        <v>370</v>
      </c>
      <c r="B47" s="170"/>
      <c r="C47" s="171" t="s">
        <v>278</v>
      </c>
      <c r="D47" s="171"/>
      <c r="E47" s="365">
        <f t="shared" si="32"/>
        <v>52.44</v>
      </c>
      <c r="F47" s="365">
        <f t="shared" si="35"/>
        <v>1.08</v>
      </c>
      <c r="G47" s="365">
        <f t="shared" si="16"/>
        <v>53.519999999999996</v>
      </c>
      <c r="H47" s="365">
        <f t="shared" si="33"/>
        <v>9.06</v>
      </c>
      <c r="I47" s="365">
        <f t="shared" si="30"/>
        <v>149.1</v>
      </c>
      <c r="J47" s="366">
        <f t="shared" si="17"/>
        <v>1350.846</v>
      </c>
      <c r="K47" s="377" t="s">
        <v>355</v>
      </c>
      <c r="L47" s="378" t="s">
        <v>309</v>
      </c>
      <c r="M47" s="365">
        <v>6000</v>
      </c>
      <c r="N47" s="379">
        <f t="shared" si="34"/>
        <v>1120</v>
      </c>
      <c r="O47" s="369">
        <f t="shared" si="18"/>
        <v>67293.245999999999</v>
      </c>
      <c r="P47" s="370">
        <f t="shared" si="19"/>
        <v>1257.3476457399104</v>
      </c>
      <c r="Q47" s="172">
        <v>0.01</v>
      </c>
      <c r="R47" s="371">
        <f t="shared" si="20"/>
        <v>672.93245999999999</v>
      </c>
      <c r="S47" s="172">
        <v>0.04</v>
      </c>
      <c r="T47" s="371">
        <f t="shared" si="21"/>
        <v>2691.72984</v>
      </c>
      <c r="U47" s="372">
        <f t="shared" si="22"/>
        <v>5</v>
      </c>
      <c r="V47" s="172">
        <v>0.95</v>
      </c>
      <c r="W47" s="371">
        <f t="shared" si="23"/>
        <v>63928.583699999996</v>
      </c>
      <c r="X47" s="373"/>
      <c r="Y47" s="373"/>
      <c r="Z47" s="373"/>
      <c r="AA47" s="373"/>
      <c r="AB47" s="373"/>
      <c r="AC47" s="373"/>
      <c r="AD47" s="373"/>
      <c r="AE47" s="373"/>
      <c r="AF47" s="373">
        <f>+$R47</f>
        <v>672.93245999999999</v>
      </c>
      <c r="AG47" s="373">
        <f>+$T47/5</f>
        <v>538.34596799999997</v>
      </c>
      <c r="AH47" s="373">
        <f>+AG47</f>
        <v>538.34596799999997</v>
      </c>
      <c r="AI47" s="373">
        <f>+AH47</f>
        <v>538.34596799999997</v>
      </c>
      <c r="AJ47" s="373">
        <f>+AI47</f>
        <v>538.34596799999997</v>
      </c>
      <c r="AK47" s="373">
        <f>+AJ47</f>
        <v>538.34596799999997</v>
      </c>
      <c r="AL47" s="373">
        <f>+$W47</f>
        <v>63928.583699999996</v>
      </c>
      <c r="AM47" s="373">
        <v>0</v>
      </c>
      <c r="AN47" s="373">
        <v>0</v>
      </c>
      <c r="AO47" s="373">
        <v>0</v>
      </c>
      <c r="AP47" s="373">
        <v>0</v>
      </c>
      <c r="AQ47" s="373">
        <v>0</v>
      </c>
      <c r="AR47" s="373">
        <v>0</v>
      </c>
      <c r="AS47" s="373">
        <v>0</v>
      </c>
      <c r="AT47" s="373">
        <v>0</v>
      </c>
      <c r="AU47" s="373">
        <v>0</v>
      </c>
      <c r="AV47" s="373">
        <v>0</v>
      </c>
      <c r="AW47" s="373">
        <v>0</v>
      </c>
      <c r="AX47" s="373">
        <v>0</v>
      </c>
      <c r="AY47" s="373">
        <v>0</v>
      </c>
      <c r="AZ47" s="373">
        <v>0</v>
      </c>
      <c r="BA47" s="373">
        <v>0</v>
      </c>
      <c r="BB47" s="373">
        <v>0</v>
      </c>
      <c r="BC47" s="373">
        <v>0</v>
      </c>
      <c r="BD47" s="373">
        <v>0</v>
      </c>
      <c r="BE47" s="373">
        <v>0</v>
      </c>
      <c r="BF47" s="373">
        <v>0</v>
      </c>
      <c r="BG47" s="373">
        <v>0</v>
      </c>
      <c r="BH47" s="373">
        <v>0</v>
      </c>
      <c r="BI47" s="373">
        <v>0</v>
      </c>
      <c r="BJ47" s="373">
        <v>0</v>
      </c>
      <c r="BK47" s="373">
        <v>0</v>
      </c>
      <c r="BL47" s="373">
        <v>0</v>
      </c>
      <c r="BM47" s="373">
        <v>0</v>
      </c>
      <c r="BN47" s="373">
        <v>0</v>
      </c>
      <c r="BO47" s="373">
        <v>0</v>
      </c>
      <c r="BP47" s="373">
        <v>0</v>
      </c>
      <c r="BQ47" s="373">
        <v>0</v>
      </c>
      <c r="BR47" s="373">
        <v>0</v>
      </c>
      <c r="BS47" s="373">
        <v>0</v>
      </c>
      <c r="BT47" s="373">
        <v>0</v>
      </c>
      <c r="BU47" s="373">
        <v>0</v>
      </c>
      <c r="BV47" s="373">
        <v>0</v>
      </c>
      <c r="BW47" s="373">
        <v>0</v>
      </c>
      <c r="BX47" s="373">
        <v>0</v>
      </c>
      <c r="BY47" s="373">
        <v>0</v>
      </c>
      <c r="BZ47" s="373">
        <v>0</v>
      </c>
      <c r="CA47" s="373">
        <v>0</v>
      </c>
      <c r="CB47" s="373">
        <v>0</v>
      </c>
      <c r="CC47" s="373">
        <v>0</v>
      </c>
      <c r="CD47" s="373">
        <v>0</v>
      </c>
      <c r="CE47" s="373">
        <v>0</v>
      </c>
      <c r="CF47" s="373">
        <v>0</v>
      </c>
      <c r="CG47" s="373">
        <v>0</v>
      </c>
      <c r="CH47" s="373">
        <v>0</v>
      </c>
      <c r="CI47" s="373">
        <v>0</v>
      </c>
      <c r="CJ47" s="373">
        <v>0</v>
      </c>
      <c r="CK47" s="373">
        <v>0</v>
      </c>
      <c r="CL47" s="373">
        <v>0</v>
      </c>
      <c r="CM47" s="373">
        <v>0</v>
      </c>
      <c r="CN47" s="373">
        <v>0</v>
      </c>
      <c r="CO47" s="373">
        <v>0</v>
      </c>
      <c r="CP47" s="373">
        <v>0</v>
      </c>
      <c r="CQ47" s="373">
        <v>0</v>
      </c>
      <c r="CR47" s="373">
        <v>0</v>
      </c>
      <c r="CS47" s="373">
        <v>0</v>
      </c>
      <c r="CT47" s="373">
        <v>0</v>
      </c>
      <c r="CU47" s="373">
        <v>0</v>
      </c>
      <c r="CV47" s="373">
        <v>0</v>
      </c>
      <c r="CW47" s="373">
        <v>0</v>
      </c>
      <c r="CX47" s="373">
        <v>0</v>
      </c>
      <c r="CY47" s="373">
        <v>0</v>
      </c>
      <c r="CZ47" s="373">
        <v>0</v>
      </c>
      <c r="DA47" s="373">
        <v>0</v>
      </c>
      <c r="DB47" s="373">
        <v>0</v>
      </c>
      <c r="DC47" s="373">
        <v>0</v>
      </c>
      <c r="DD47" s="373">
        <v>0</v>
      </c>
      <c r="DE47" s="373">
        <v>0</v>
      </c>
      <c r="DF47" s="373">
        <v>0</v>
      </c>
      <c r="DG47" s="373">
        <v>0</v>
      </c>
      <c r="DH47" s="373">
        <v>0</v>
      </c>
      <c r="DI47" s="373">
        <v>0</v>
      </c>
      <c r="DJ47" s="365">
        <v>0</v>
      </c>
      <c r="DK47" s="373">
        <v>0</v>
      </c>
      <c r="DL47" s="373">
        <v>0</v>
      </c>
      <c r="DM47" s="373">
        <v>0</v>
      </c>
      <c r="DN47" s="373">
        <v>0</v>
      </c>
      <c r="DO47" s="373">
        <v>0</v>
      </c>
      <c r="DP47" s="373">
        <v>0</v>
      </c>
      <c r="DQ47" s="373">
        <v>0</v>
      </c>
      <c r="DR47" s="373">
        <v>0</v>
      </c>
      <c r="DS47" s="365">
        <v>0</v>
      </c>
      <c r="DT47" s="374">
        <f t="shared" si="24"/>
        <v>67293.245999999999</v>
      </c>
      <c r="DU47" s="375">
        <f t="shared" si="25"/>
        <v>0</v>
      </c>
      <c r="DV47" s="376"/>
      <c r="DW47" s="138" t="b">
        <f t="shared" si="26"/>
        <v>1</v>
      </c>
    </row>
    <row r="48" spans="1:127" s="138" customFormat="1" ht="12" customHeight="1">
      <c r="A48" s="169" t="s">
        <v>371</v>
      </c>
      <c r="B48" s="170"/>
      <c r="C48" s="171" t="s">
        <v>278</v>
      </c>
      <c r="D48" s="171"/>
      <c r="E48" s="365">
        <f t="shared" si="32"/>
        <v>52.44</v>
      </c>
      <c r="F48" s="365">
        <f t="shared" si="35"/>
        <v>1.08</v>
      </c>
      <c r="G48" s="365">
        <f t="shared" si="16"/>
        <v>53.519999999999996</v>
      </c>
      <c r="H48" s="365">
        <f t="shared" si="33"/>
        <v>9.06</v>
      </c>
      <c r="I48" s="365">
        <f t="shared" si="30"/>
        <v>149.1</v>
      </c>
      <c r="J48" s="366">
        <f t="shared" si="17"/>
        <v>1350.846</v>
      </c>
      <c r="K48" s="378" t="s">
        <v>372</v>
      </c>
      <c r="L48" s="378" t="s">
        <v>329</v>
      </c>
      <c r="M48" s="365">
        <v>5000</v>
      </c>
      <c r="N48" s="379">
        <f t="shared" si="34"/>
        <v>1120</v>
      </c>
      <c r="O48" s="382">
        <f t="shared" si="18"/>
        <v>66293.245999999999</v>
      </c>
      <c r="P48" s="370">
        <f t="shared" si="19"/>
        <v>1238.6630418535128</v>
      </c>
      <c r="Q48" s="172">
        <v>0.01</v>
      </c>
      <c r="R48" s="371">
        <f t="shared" si="20"/>
        <v>662.93245999999999</v>
      </c>
      <c r="S48" s="172">
        <v>0.04</v>
      </c>
      <c r="T48" s="371">
        <f t="shared" si="21"/>
        <v>2651.72984</v>
      </c>
      <c r="U48" s="372">
        <f t="shared" si="22"/>
        <v>3</v>
      </c>
      <c r="V48" s="172">
        <v>0.95</v>
      </c>
      <c r="W48" s="371">
        <f t="shared" si="23"/>
        <v>62978.583699999996</v>
      </c>
      <c r="X48" s="373"/>
      <c r="Y48" s="373"/>
      <c r="Z48" s="373"/>
      <c r="AA48" s="373"/>
      <c r="AB48" s="373"/>
      <c r="AC48" s="373"/>
      <c r="AD48" s="373"/>
      <c r="AE48" s="373"/>
      <c r="AF48" s="373"/>
      <c r="AG48" s="373">
        <f>+$R48</f>
        <v>662.93245999999999</v>
      </c>
      <c r="AH48" s="373">
        <f>+$T48/3</f>
        <v>883.90994666666666</v>
      </c>
      <c r="AI48" s="373">
        <f>+AH48</f>
        <v>883.90994666666666</v>
      </c>
      <c r="AJ48" s="373">
        <f>+AI48</f>
        <v>883.90994666666666</v>
      </c>
      <c r="AK48" s="373">
        <f>+$W48</f>
        <v>62978.583699999996</v>
      </c>
      <c r="AL48" s="373">
        <v>0</v>
      </c>
      <c r="AM48" s="373">
        <v>0</v>
      </c>
      <c r="AN48" s="373">
        <v>0</v>
      </c>
      <c r="AO48" s="373">
        <v>0</v>
      </c>
      <c r="AP48" s="373">
        <v>0</v>
      </c>
      <c r="AQ48" s="373">
        <v>0</v>
      </c>
      <c r="AR48" s="373">
        <v>0</v>
      </c>
      <c r="AS48" s="373">
        <v>0</v>
      </c>
      <c r="AT48" s="373">
        <v>0</v>
      </c>
      <c r="AU48" s="373">
        <v>0</v>
      </c>
      <c r="AV48" s="373">
        <v>0</v>
      </c>
      <c r="AW48" s="373">
        <v>0</v>
      </c>
      <c r="AX48" s="373">
        <v>0</v>
      </c>
      <c r="AY48" s="373">
        <v>0</v>
      </c>
      <c r="AZ48" s="373">
        <v>0</v>
      </c>
      <c r="BA48" s="373">
        <v>0</v>
      </c>
      <c r="BB48" s="373">
        <v>0</v>
      </c>
      <c r="BC48" s="373">
        <v>0</v>
      </c>
      <c r="BD48" s="373">
        <v>0</v>
      </c>
      <c r="BE48" s="373">
        <v>0</v>
      </c>
      <c r="BF48" s="373">
        <v>0</v>
      </c>
      <c r="BG48" s="373">
        <v>0</v>
      </c>
      <c r="BH48" s="373">
        <v>0</v>
      </c>
      <c r="BI48" s="373">
        <v>0</v>
      </c>
      <c r="BJ48" s="373">
        <v>0</v>
      </c>
      <c r="BK48" s="373">
        <v>0</v>
      </c>
      <c r="BL48" s="373">
        <v>0</v>
      </c>
      <c r="BM48" s="373">
        <v>0</v>
      </c>
      <c r="BN48" s="373">
        <v>0</v>
      </c>
      <c r="BO48" s="373">
        <v>0</v>
      </c>
      <c r="BP48" s="373">
        <v>0</v>
      </c>
      <c r="BQ48" s="373">
        <v>0</v>
      </c>
      <c r="BR48" s="373">
        <v>0</v>
      </c>
      <c r="BS48" s="373">
        <v>0</v>
      </c>
      <c r="BT48" s="373">
        <v>0</v>
      </c>
      <c r="BU48" s="373">
        <v>0</v>
      </c>
      <c r="BV48" s="373">
        <v>0</v>
      </c>
      <c r="BW48" s="373">
        <v>0</v>
      </c>
      <c r="BX48" s="373">
        <v>0</v>
      </c>
      <c r="BY48" s="373">
        <v>0</v>
      </c>
      <c r="BZ48" s="373">
        <v>0</v>
      </c>
      <c r="CA48" s="373">
        <v>0</v>
      </c>
      <c r="CB48" s="373">
        <v>0</v>
      </c>
      <c r="CC48" s="373">
        <v>0</v>
      </c>
      <c r="CD48" s="373">
        <v>0</v>
      </c>
      <c r="CE48" s="373">
        <v>0</v>
      </c>
      <c r="CF48" s="373">
        <v>0</v>
      </c>
      <c r="CG48" s="373">
        <v>0</v>
      </c>
      <c r="CH48" s="373">
        <v>0</v>
      </c>
      <c r="CI48" s="373">
        <v>0</v>
      </c>
      <c r="CJ48" s="373">
        <v>0</v>
      </c>
      <c r="CK48" s="373">
        <v>0</v>
      </c>
      <c r="CL48" s="373">
        <v>0</v>
      </c>
      <c r="CM48" s="373">
        <v>0</v>
      </c>
      <c r="CN48" s="373">
        <v>0</v>
      </c>
      <c r="CO48" s="373">
        <v>0</v>
      </c>
      <c r="CP48" s="373">
        <v>0</v>
      </c>
      <c r="CQ48" s="373">
        <v>0</v>
      </c>
      <c r="CR48" s="373">
        <v>0</v>
      </c>
      <c r="CS48" s="373">
        <v>0</v>
      </c>
      <c r="CT48" s="373">
        <v>0</v>
      </c>
      <c r="CU48" s="373">
        <v>0</v>
      </c>
      <c r="CV48" s="373">
        <v>0</v>
      </c>
      <c r="CW48" s="373">
        <v>0</v>
      </c>
      <c r="CX48" s="373">
        <v>0</v>
      </c>
      <c r="CY48" s="373">
        <v>0</v>
      </c>
      <c r="CZ48" s="373">
        <v>0</v>
      </c>
      <c r="DA48" s="373">
        <v>0</v>
      </c>
      <c r="DB48" s="373">
        <v>0</v>
      </c>
      <c r="DC48" s="373">
        <v>0</v>
      </c>
      <c r="DD48" s="373">
        <v>0</v>
      </c>
      <c r="DE48" s="373">
        <v>0</v>
      </c>
      <c r="DF48" s="373">
        <v>0</v>
      </c>
      <c r="DG48" s="373">
        <v>0</v>
      </c>
      <c r="DH48" s="373">
        <v>0</v>
      </c>
      <c r="DI48" s="373">
        <v>0</v>
      </c>
      <c r="DJ48" s="365">
        <v>0</v>
      </c>
      <c r="DK48" s="373">
        <v>0</v>
      </c>
      <c r="DL48" s="373">
        <v>0</v>
      </c>
      <c r="DM48" s="373">
        <v>0</v>
      </c>
      <c r="DN48" s="373">
        <v>0</v>
      </c>
      <c r="DO48" s="373">
        <v>0</v>
      </c>
      <c r="DP48" s="373">
        <v>0</v>
      </c>
      <c r="DQ48" s="373">
        <v>0</v>
      </c>
      <c r="DR48" s="373">
        <v>0</v>
      </c>
      <c r="DS48" s="365">
        <v>0</v>
      </c>
      <c r="DT48" s="374">
        <f t="shared" si="24"/>
        <v>66293.245999999999</v>
      </c>
      <c r="DU48" s="375">
        <f t="shared" si="25"/>
        <v>0</v>
      </c>
      <c r="DV48" s="376"/>
      <c r="DW48" s="138" t="b">
        <f t="shared" si="26"/>
        <v>1</v>
      </c>
    </row>
    <row r="49" spans="1:127" s="138" customFormat="1" ht="12" customHeight="1">
      <c r="A49" s="169" t="s">
        <v>373</v>
      </c>
      <c r="B49" s="170"/>
      <c r="C49" s="171" t="s">
        <v>278</v>
      </c>
      <c r="D49" s="171"/>
      <c r="E49" s="365">
        <f t="shared" si="32"/>
        <v>52.44</v>
      </c>
      <c r="F49" s="365">
        <f t="shared" si="35"/>
        <v>1.08</v>
      </c>
      <c r="G49" s="365">
        <f t="shared" ref="G49:G68" si="36">+E49+F49</f>
        <v>53.519999999999996</v>
      </c>
      <c r="H49" s="365">
        <f t="shared" si="33"/>
        <v>9.06</v>
      </c>
      <c r="I49" s="365">
        <f t="shared" si="30"/>
        <v>149.1</v>
      </c>
      <c r="J49" s="366">
        <f t="shared" ref="J49:J80" si="37">H49*I49</f>
        <v>1350.846</v>
      </c>
      <c r="K49" s="377" t="s">
        <v>374</v>
      </c>
      <c r="L49" s="378" t="s">
        <v>309</v>
      </c>
      <c r="M49" s="365">
        <v>6000</v>
      </c>
      <c r="N49" s="379">
        <f t="shared" si="34"/>
        <v>1120</v>
      </c>
      <c r="O49" s="369">
        <f t="shared" ref="O49:O80" si="38">+ROUND((G49*N49),2)+J49+M49</f>
        <v>67293.245999999999</v>
      </c>
      <c r="P49" s="370">
        <f t="shared" ref="P49:P80" si="39">O49/(G49)</f>
        <v>1257.3476457399104</v>
      </c>
      <c r="Q49" s="172">
        <v>0.01</v>
      </c>
      <c r="R49" s="371">
        <f t="shared" ref="R49:R80" si="40">O49*Q49</f>
        <v>672.93245999999999</v>
      </c>
      <c r="S49" s="172">
        <v>0.04</v>
      </c>
      <c r="T49" s="371">
        <f t="shared" ref="T49:T80" si="41">O49*S49</f>
        <v>2691.72984</v>
      </c>
      <c r="U49" s="372">
        <f t="shared" ref="U49:U80" si="42">COUNTIF(X49:DS49,"&gt;0")-2</f>
        <v>1</v>
      </c>
      <c r="V49" s="172">
        <v>0.95</v>
      </c>
      <c r="W49" s="371">
        <f t="shared" ref="W49:W80" si="43">+O49*V49</f>
        <v>63928.583699999996</v>
      </c>
      <c r="X49" s="373"/>
      <c r="Y49" s="373"/>
      <c r="Z49" s="373"/>
      <c r="AA49" s="373"/>
      <c r="AB49" s="373"/>
      <c r="AC49" s="373"/>
      <c r="AD49" s="373"/>
      <c r="AE49" s="373"/>
      <c r="AF49" s="373"/>
      <c r="AG49" s="373">
        <f>+$R49</f>
        <v>672.93245999999999</v>
      </c>
      <c r="AH49" s="373">
        <f>+$T49/1</f>
        <v>2691.72984</v>
      </c>
      <c r="AI49" s="373">
        <f>+$W49</f>
        <v>63928.583699999996</v>
      </c>
      <c r="AJ49" s="373">
        <v>0</v>
      </c>
      <c r="AK49" s="373">
        <v>0</v>
      </c>
      <c r="AL49" s="373">
        <v>0</v>
      </c>
      <c r="AM49" s="373">
        <v>0</v>
      </c>
      <c r="AN49" s="373">
        <v>0</v>
      </c>
      <c r="AO49" s="373">
        <v>0</v>
      </c>
      <c r="AP49" s="373">
        <v>0</v>
      </c>
      <c r="AQ49" s="373">
        <v>0</v>
      </c>
      <c r="AR49" s="373">
        <v>0</v>
      </c>
      <c r="AS49" s="373">
        <v>0</v>
      </c>
      <c r="AT49" s="373">
        <v>0</v>
      </c>
      <c r="AU49" s="373">
        <v>0</v>
      </c>
      <c r="AV49" s="373">
        <v>0</v>
      </c>
      <c r="AW49" s="373">
        <v>0</v>
      </c>
      <c r="AX49" s="373">
        <v>0</v>
      </c>
      <c r="AY49" s="373">
        <v>0</v>
      </c>
      <c r="AZ49" s="373">
        <v>0</v>
      </c>
      <c r="BA49" s="373">
        <v>0</v>
      </c>
      <c r="BB49" s="373">
        <v>0</v>
      </c>
      <c r="BC49" s="373">
        <v>0</v>
      </c>
      <c r="BD49" s="373">
        <v>0</v>
      </c>
      <c r="BE49" s="373">
        <v>0</v>
      </c>
      <c r="BF49" s="373">
        <v>0</v>
      </c>
      <c r="BG49" s="373">
        <v>0</v>
      </c>
      <c r="BH49" s="373">
        <v>0</v>
      </c>
      <c r="BI49" s="373">
        <v>0</v>
      </c>
      <c r="BJ49" s="373">
        <v>0</v>
      </c>
      <c r="BK49" s="373">
        <v>0</v>
      </c>
      <c r="BL49" s="373">
        <v>0</v>
      </c>
      <c r="BM49" s="373">
        <v>0</v>
      </c>
      <c r="BN49" s="373">
        <v>0</v>
      </c>
      <c r="BO49" s="373">
        <v>0</v>
      </c>
      <c r="BP49" s="373">
        <v>0</v>
      </c>
      <c r="BQ49" s="373">
        <v>0</v>
      </c>
      <c r="BR49" s="373">
        <v>0</v>
      </c>
      <c r="BS49" s="373">
        <v>0</v>
      </c>
      <c r="BT49" s="373">
        <v>0</v>
      </c>
      <c r="BU49" s="373">
        <v>0</v>
      </c>
      <c r="BV49" s="373">
        <v>0</v>
      </c>
      <c r="BW49" s="373">
        <v>0</v>
      </c>
      <c r="BX49" s="373">
        <v>0</v>
      </c>
      <c r="BY49" s="373">
        <v>0</v>
      </c>
      <c r="BZ49" s="373">
        <v>0</v>
      </c>
      <c r="CA49" s="373">
        <v>0</v>
      </c>
      <c r="CB49" s="373">
        <v>0</v>
      </c>
      <c r="CC49" s="373">
        <v>0</v>
      </c>
      <c r="CD49" s="373">
        <v>0</v>
      </c>
      <c r="CE49" s="373">
        <v>0</v>
      </c>
      <c r="CF49" s="373">
        <v>0</v>
      </c>
      <c r="CG49" s="373">
        <v>0</v>
      </c>
      <c r="CH49" s="373">
        <v>0</v>
      </c>
      <c r="CI49" s="373">
        <v>0</v>
      </c>
      <c r="CJ49" s="373">
        <v>0</v>
      </c>
      <c r="CK49" s="373">
        <v>0</v>
      </c>
      <c r="CL49" s="373">
        <v>0</v>
      </c>
      <c r="CM49" s="373">
        <v>0</v>
      </c>
      <c r="CN49" s="373">
        <v>0</v>
      </c>
      <c r="CO49" s="373">
        <v>0</v>
      </c>
      <c r="CP49" s="373">
        <v>0</v>
      </c>
      <c r="CQ49" s="373">
        <v>0</v>
      </c>
      <c r="CR49" s="373">
        <v>0</v>
      </c>
      <c r="CS49" s="373">
        <v>0</v>
      </c>
      <c r="CT49" s="373">
        <v>0</v>
      </c>
      <c r="CU49" s="373">
        <v>0</v>
      </c>
      <c r="CV49" s="373">
        <v>0</v>
      </c>
      <c r="CW49" s="373">
        <v>0</v>
      </c>
      <c r="CX49" s="373">
        <v>0</v>
      </c>
      <c r="CY49" s="373">
        <v>0</v>
      </c>
      <c r="CZ49" s="373">
        <v>0</v>
      </c>
      <c r="DA49" s="373">
        <v>0</v>
      </c>
      <c r="DB49" s="373">
        <v>0</v>
      </c>
      <c r="DC49" s="373">
        <v>0</v>
      </c>
      <c r="DD49" s="373">
        <v>0</v>
      </c>
      <c r="DE49" s="373">
        <v>0</v>
      </c>
      <c r="DF49" s="373">
        <v>0</v>
      </c>
      <c r="DG49" s="373">
        <v>0</v>
      </c>
      <c r="DH49" s="373">
        <v>0</v>
      </c>
      <c r="DI49" s="373">
        <v>0</v>
      </c>
      <c r="DJ49" s="365">
        <v>0</v>
      </c>
      <c r="DK49" s="373">
        <v>0</v>
      </c>
      <c r="DL49" s="373">
        <v>0</v>
      </c>
      <c r="DM49" s="373">
        <v>0</v>
      </c>
      <c r="DN49" s="373">
        <v>0</v>
      </c>
      <c r="DO49" s="373">
        <v>0</v>
      </c>
      <c r="DP49" s="373">
        <v>0</v>
      </c>
      <c r="DQ49" s="373">
        <v>0</v>
      </c>
      <c r="DR49" s="373">
        <v>0</v>
      </c>
      <c r="DS49" s="365">
        <v>0</v>
      </c>
      <c r="DT49" s="374">
        <f t="shared" ref="DT49:DT80" si="44">SUM(X49:DR49)</f>
        <v>67293.245999999999</v>
      </c>
      <c r="DU49" s="375">
        <f t="shared" ref="DU49:DU80" si="45">+O49-DT49</f>
        <v>0</v>
      </c>
      <c r="DV49" s="376"/>
      <c r="DW49" s="138" t="b">
        <f t="shared" ref="DW49:DW80" si="46">O49=DT49</f>
        <v>1</v>
      </c>
    </row>
    <row r="50" spans="1:127" s="138" customFormat="1" ht="12" customHeight="1">
      <c r="A50" s="169" t="s">
        <v>375</v>
      </c>
      <c r="B50" s="170"/>
      <c r="C50" s="171" t="s">
        <v>278</v>
      </c>
      <c r="D50" s="171"/>
      <c r="E50" s="365">
        <f t="shared" si="32"/>
        <v>52.44</v>
      </c>
      <c r="F50" s="365">
        <f t="shared" si="35"/>
        <v>1.08</v>
      </c>
      <c r="G50" s="365">
        <f t="shared" si="36"/>
        <v>53.519999999999996</v>
      </c>
      <c r="H50" s="365">
        <f t="shared" si="33"/>
        <v>9.06</v>
      </c>
      <c r="I50" s="365">
        <f t="shared" ref="I50:I81" si="47">$I$17</f>
        <v>149.1</v>
      </c>
      <c r="J50" s="366">
        <f t="shared" si="37"/>
        <v>1350.846</v>
      </c>
      <c r="K50" s="377" t="s">
        <v>376</v>
      </c>
      <c r="L50" s="378" t="s">
        <v>309</v>
      </c>
      <c r="M50" s="365">
        <v>6000</v>
      </c>
      <c r="N50" s="379">
        <f t="shared" si="34"/>
        <v>1120</v>
      </c>
      <c r="O50" s="369">
        <f t="shared" si="38"/>
        <v>67293.245999999999</v>
      </c>
      <c r="P50" s="370">
        <f t="shared" si="39"/>
        <v>1257.3476457399104</v>
      </c>
      <c r="Q50" s="172">
        <v>0.01</v>
      </c>
      <c r="R50" s="371">
        <f t="shared" si="40"/>
        <v>672.93245999999999</v>
      </c>
      <c r="S50" s="172">
        <v>0.04</v>
      </c>
      <c r="T50" s="371">
        <f t="shared" si="41"/>
        <v>2691.72984</v>
      </c>
      <c r="U50" s="372">
        <f t="shared" si="42"/>
        <v>5</v>
      </c>
      <c r="V50" s="172">
        <v>0.95</v>
      </c>
      <c r="W50" s="371">
        <f t="shared" si="43"/>
        <v>63928.583699999996</v>
      </c>
      <c r="X50" s="373"/>
      <c r="Y50" s="373"/>
      <c r="Z50" s="373"/>
      <c r="AA50" s="373"/>
      <c r="AB50" s="373"/>
      <c r="AC50" s="373"/>
      <c r="AD50" s="373"/>
      <c r="AE50" s="373"/>
      <c r="AF50" s="373"/>
      <c r="AG50" s="373"/>
      <c r="AH50" s="373">
        <f>+$R50</f>
        <v>672.93245999999999</v>
      </c>
      <c r="AI50" s="373">
        <f>+$T50/5</f>
        <v>538.34596799999997</v>
      </c>
      <c r="AJ50" s="373">
        <f>+AI50</f>
        <v>538.34596799999997</v>
      </c>
      <c r="AK50" s="373">
        <f>+AJ50</f>
        <v>538.34596799999997</v>
      </c>
      <c r="AL50" s="373">
        <f>+AK50</f>
        <v>538.34596799999997</v>
      </c>
      <c r="AM50" s="373">
        <f>+AL50</f>
        <v>538.34596799999997</v>
      </c>
      <c r="AN50" s="373">
        <f>+$W50</f>
        <v>63928.583699999996</v>
      </c>
      <c r="AO50" s="373">
        <v>0</v>
      </c>
      <c r="AP50" s="373">
        <v>0</v>
      </c>
      <c r="AQ50" s="373">
        <v>0</v>
      </c>
      <c r="AR50" s="373">
        <v>0</v>
      </c>
      <c r="AS50" s="373">
        <v>0</v>
      </c>
      <c r="AT50" s="373">
        <v>0</v>
      </c>
      <c r="AU50" s="373">
        <v>0</v>
      </c>
      <c r="AV50" s="373">
        <v>0</v>
      </c>
      <c r="AW50" s="373">
        <v>0</v>
      </c>
      <c r="AX50" s="373">
        <v>0</v>
      </c>
      <c r="AY50" s="373">
        <v>0</v>
      </c>
      <c r="AZ50" s="373">
        <v>0</v>
      </c>
      <c r="BA50" s="373">
        <v>0</v>
      </c>
      <c r="BB50" s="373">
        <v>0</v>
      </c>
      <c r="BC50" s="373">
        <v>0</v>
      </c>
      <c r="BD50" s="373">
        <v>0</v>
      </c>
      <c r="BE50" s="373">
        <v>0</v>
      </c>
      <c r="BF50" s="373">
        <v>0</v>
      </c>
      <c r="BG50" s="373">
        <v>0</v>
      </c>
      <c r="BH50" s="373">
        <v>0</v>
      </c>
      <c r="BI50" s="373">
        <v>0</v>
      </c>
      <c r="BJ50" s="373">
        <v>0</v>
      </c>
      <c r="BK50" s="373">
        <v>0</v>
      </c>
      <c r="BL50" s="373">
        <v>0</v>
      </c>
      <c r="BM50" s="373">
        <v>0</v>
      </c>
      <c r="BN50" s="373">
        <v>0</v>
      </c>
      <c r="BO50" s="373">
        <v>0</v>
      </c>
      <c r="BP50" s="373">
        <v>0</v>
      </c>
      <c r="BQ50" s="373">
        <v>0</v>
      </c>
      <c r="BR50" s="373">
        <v>0</v>
      </c>
      <c r="BS50" s="373">
        <v>0</v>
      </c>
      <c r="BT50" s="373">
        <v>0</v>
      </c>
      <c r="BU50" s="373">
        <v>0</v>
      </c>
      <c r="BV50" s="373">
        <v>0</v>
      </c>
      <c r="BW50" s="373">
        <v>0</v>
      </c>
      <c r="BX50" s="373">
        <v>0</v>
      </c>
      <c r="BY50" s="373">
        <v>0</v>
      </c>
      <c r="BZ50" s="373">
        <v>0</v>
      </c>
      <c r="CA50" s="373">
        <v>0</v>
      </c>
      <c r="CB50" s="373">
        <v>0</v>
      </c>
      <c r="CC50" s="373">
        <v>0</v>
      </c>
      <c r="CD50" s="373">
        <v>0</v>
      </c>
      <c r="CE50" s="373">
        <v>0</v>
      </c>
      <c r="CF50" s="373">
        <v>0</v>
      </c>
      <c r="CG50" s="373">
        <v>0</v>
      </c>
      <c r="CH50" s="373">
        <v>0</v>
      </c>
      <c r="CI50" s="373">
        <v>0</v>
      </c>
      <c r="CJ50" s="373">
        <v>0</v>
      </c>
      <c r="CK50" s="373">
        <v>0</v>
      </c>
      <c r="CL50" s="373">
        <v>0</v>
      </c>
      <c r="CM50" s="373">
        <v>0</v>
      </c>
      <c r="CN50" s="373">
        <v>0</v>
      </c>
      <c r="CO50" s="373">
        <v>0</v>
      </c>
      <c r="CP50" s="373">
        <v>0</v>
      </c>
      <c r="CQ50" s="373">
        <v>0</v>
      </c>
      <c r="CR50" s="373">
        <v>0</v>
      </c>
      <c r="CS50" s="373">
        <v>0</v>
      </c>
      <c r="CT50" s="373">
        <v>0</v>
      </c>
      <c r="CU50" s="373">
        <v>0</v>
      </c>
      <c r="CV50" s="373">
        <v>0</v>
      </c>
      <c r="CW50" s="373">
        <v>0</v>
      </c>
      <c r="CX50" s="373">
        <v>0</v>
      </c>
      <c r="CY50" s="373">
        <v>0</v>
      </c>
      <c r="CZ50" s="373">
        <v>0</v>
      </c>
      <c r="DA50" s="373">
        <v>0</v>
      </c>
      <c r="DB50" s="373">
        <v>0</v>
      </c>
      <c r="DC50" s="373">
        <v>0</v>
      </c>
      <c r="DD50" s="373">
        <v>0</v>
      </c>
      <c r="DE50" s="373">
        <v>0</v>
      </c>
      <c r="DF50" s="373">
        <v>0</v>
      </c>
      <c r="DG50" s="373">
        <v>0</v>
      </c>
      <c r="DH50" s="373">
        <v>0</v>
      </c>
      <c r="DI50" s="373">
        <v>0</v>
      </c>
      <c r="DJ50" s="365">
        <v>0</v>
      </c>
      <c r="DK50" s="373">
        <v>0</v>
      </c>
      <c r="DL50" s="373">
        <v>0</v>
      </c>
      <c r="DM50" s="373">
        <v>0</v>
      </c>
      <c r="DN50" s="373">
        <v>0</v>
      </c>
      <c r="DO50" s="373">
        <v>0</v>
      </c>
      <c r="DP50" s="373">
        <v>0</v>
      </c>
      <c r="DQ50" s="373">
        <v>0</v>
      </c>
      <c r="DR50" s="373">
        <v>0</v>
      </c>
      <c r="DS50" s="365">
        <v>0</v>
      </c>
      <c r="DT50" s="374">
        <f t="shared" si="44"/>
        <v>67293.245999999999</v>
      </c>
      <c r="DU50" s="375">
        <f t="shared" si="45"/>
        <v>0</v>
      </c>
      <c r="DV50" s="376"/>
      <c r="DW50" s="138" t="b">
        <f t="shared" si="46"/>
        <v>1</v>
      </c>
    </row>
    <row r="51" spans="1:127" s="138" customFormat="1" ht="12" customHeight="1">
      <c r="A51" s="169" t="s">
        <v>377</v>
      </c>
      <c r="B51" s="170"/>
      <c r="C51" s="171" t="s">
        <v>280</v>
      </c>
      <c r="D51" s="171"/>
      <c r="E51" s="364">
        <f>$E$33</f>
        <v>74.010000000000005</v>
      </c>
      <c r="F51" s="364">
        <f t="shared" si="35"/>
        <v>1.08</v>
      </c>
      <c r="G51" s="365">
        <f t="shared" si="36"/>
        <v>75.09</v>
      </c>
      <c r="H51" s="364">
        <f>$H$33</f>
        <v>9.06</v>
      </c>
      <c r="I51" s="366">
        <f t="shared" si="47"/>
        <v>149.1</v>
      </c>
      <c r="J51" s="366">
        <f t="shared" si="37"/>
        <v>1350.846</v>
      </c>
      <c r="K51" s="378" t="s">
        <v>378</v>
      </c>
      <c r="L51" s="378" t="s">
        <v>329</v>
      </c>
      <c r="M51" s="365">
        <v>5000</v>
      </c>
      <c r="N51" s="364">
        <f>N17</f>
        <v>994</v>
      </c>
      <c r="O51" s="382">
        <f t="shared" si="38"/>
        <v>80990.306000000011</v>
      </c>
      <c r="P51" s="370">
        <f t="shared" si="39"/>
        <v>1078.5764549207618</v>
      </c>
      <c r="Q51" s="172">
        <v>0.01</v>
      </c>
      <c r="R51" s="371">
        <f t="shared" si="40"/>
        <v>809.9030600000001</v>
      </c>
      <c r="S51" s="172">
        <v>0.04</v>
      </c>
      <c r="T51" s="371">
        <f t="shared" si="41"/>
        <v>3239.6122400000004</v>
      </c>
      <c r="U51" s="372">
        <f t="shared" si="42"/>
        <v>5</v>
      </c>
      <c r="V51" s="172">
        <v>0.95</v>
      </c>
      <c r="W51" s="371">
        <f t="shared" si="43"/>
        <v>76940.790700000012</v>
      </c>
      <c r="X51" s="373"/>
      <c r="Y51" s="373">
        <f>+$R51</f>
        <v>809.9030600000001</v>
      </c>
      <c r="Z51" s="373">
        <f>+$T51/5</f>
        <v>647.92244800000003</v>
      </c>
      <c r="AA51" s="373">
        <f>+$T51/5</f>
        <v>647.92244800000003</v>
      </c>
      <c r="AB51" s="373">
        <f>+$T51/5</f>
        <v>647.92244800000003</v>
      </c>
      <c r="AC51" s="373">
        <f>+$T51/5</f>
        <v>647.92244800000003</v>
      </c>
      <c r="AD51" s="373">
        <f>+$T51/5</f>
        <v>647.92244800000003</v>
      </c>
      <c r="AE51" s="373">
        <f>+$W51</f>
        <v>76940.790700000012</v>
      </c>
      <c r="AF51" s="373">
        <v>0</v>
      </c>
      <c r="AG51" s="373">
        <v>0</v>
      </c>
      <c r="AH51" s="373">
        <v>0</v>
      </c>
      <c r="AI51" s="373">
        <v>0</v>
      </c>
      <c r="AJ51" s="373">
        <v>0</v>
      </c>
      <c r="AK51" s="373">
        <v>0</v>
      </c>
      <c r="AL51" s="373">
        <v>0</v>
      </c>
      <c r="AM51" s="373">
        <v>0</v>
      </c>
      <c r="AN51" s="373">
        <v>0</v>
      </c>
      <c r="AO51" s="373">
        <v>0</v>
      </c>
      <c r="AP51" s="373">
        <v>0</v>
      </c>
      <c r="AQ51" s="373">
        <v>0</v>
      </c>
      <c r="AR51" s="373">
        <v>0</v>
      </c>
      <c r="AS51" s="373">
        <v>0</v>
      </c>
      <c r="AT51" s="373">
        <v>0</v>
      </c>
      <c r="AU51" s="373">
        <v>0</v>
      </c>
      <c r="AV51" s="373">
        <v>0</v>
      </c>
      <c r="AW51" s="373">
        <v>0</v>
      </c>
      <c r="AX51" s="373">
        <v>0</v>
      </c>
      <c r="AY51" s="373">
        <v>0</v>
      </c>
      <c r="AZ51" s="373">
        <v>0</v>
      </c>
      <c r="BA51" s="373">
        <v>0</v>
      </c>
      <c r="BB51" s="373">
        <v>0</v>
      </c>
      <c r="BC51" s="373">
        <v>0</v>
      </c>
      <c r="BD51" s="373">
        <v>0</v>
      </c>
      <c r="BE51" s="373">
        <v>0</v>
      </c>
      <c r="BF51" s="373">
        <v>0</v>
      </c>
      <c r="BG51" s="373">
        <v>0</v>
      </c>
      <c r="BH51" s="373">
        <v>0</v>
      </c>
      <c r="BI51" s="373">
        <v>0</v>
      </c>
      <c r="BJ51" s="373">
        <v>0</v>
      </c>
      <c r="BK51" s="373">
        <v>0</v>
      </c>
      <c r="BL51" s="373">
        <v>0</v>
      </c>
      <c r="BM51" s="373">
        <v>0</v>
      </c>
      <c r="BN51" s="373">
        <v>0</v>
      </c>
      <c r="BO51" s="373">
        <v>0</v>
      </c>
      <c r="BP51" s="373">
        <v>0</v>
      </c>
      <c r="BQ51" s="373">
        <v>0</v>
      </c>
      <c r="BR51" s="373">
        <v>0</v>
      </c>
      <c r="BS51" s="373">
        <v>0</v>
      </c>
      <c r="BT51" s="373">
        <v>0</v>
      </c>
      <c r="BU51" s="373">
        <v>0</v>
      </c>
      <c r="BV51" s="373">
        <v>0</v>
      </c>
      <c r="BW51" s="373">
        <v>0</v>
      </c>
      <c r="BX51" s="373">
        <v>0</v>
      </c>
      <c r="BY51" s="373">
        <v>0</v>
      </c>
      <c r="BZ51" s="373">
        <v>0</v>
      </c>
      <c r="CA51" s="373">
        <v>0</v>
      </c>
      <c r="CB51" s="373">
        <v>0</v>
      </c>
      <c r="CC51" s="373">
        <v>0</v>
      </c>
      <c r="CD51" s="373">
        <v>0</v>
      </c>
      <c r="CE51" s="373">
        <v>0</v>
      </c>
      <c r="CF51" s="373">
        <v>0</v>
      </c>
      <c r="CG51" s="373">
        <v>0</v>
      </c>
      <c r="CH51" s="373">
        <v>0</v>
      </c>
      <c r="CI51" s="373">
        <v>0</v>
      </c>
      <c r="CJ51" s="373">
        <v>0</v>
      </c>
      <c r="CK51" s="373">
        <v>0</v>
      </c>
      <c r="CL51" s="373">
        <v>0</v>
      </c>
      <c r="CM51" s="373">
        <v>0</v>
      </c>
      <c r="CN51" s="373">
        <v>0</v>
      </c>
      <c r="CO51" s="373">
        <v>0</v>
      </c>
      <c r="CP51" s="373">
        <v>0</v>
      </c>
      <c r="CQ51" s="373">
        <v>0</v>
      </c>
      <c r="CR51" s="373">
        <v>0</v>
      </c>
      <c r="CS51" s="373">
        <v>0</v>
      </c>
      <c r="CT51" s="373">
        <v>0</v>
      </c>
      <c r="CU51" s="373">
        <v>0</v>
      </c>
      <c r="CV51" s="373">
        <v>0</v>
      </c>
      <c r="CW51" s="373">
        <v>0</v>
      </c>
      <c r="CX51" s="373">
        <v>0</v>
      </c>
      <c r="CY51" s="373">
        <v>0</v>
      </c>
      <c r="CZ51" s="373">
        <v>0</v>
      </c>
      <c r="DA51" s="373">
        <v>0</v>
      </c>
      <c r="DB51" s="373">
        <v>0</v>
      </c>
      <c r="DC51" s="373">
        <v>0</v>
      </c>
      <c r="DD51" s="373">
        <v>0</v>
      </c>
      <c r="DE51" s="373">
        <v>0</v>
      </c>
      <c r="DF51" s="373">
        <v>0</v>
      </c>
      <c r="DG51" s="373">
        <v>0</v>
      </c>
      <c r="DH51" s="373">
        <v>0</v>
      </c>
      <c r="DI51" s="373">
        <v>0</v>
      </c>
      <c r="DJ51" s="373">
        <v>0</v>
      </c>
      <c r="DK51" s="373">
        <v>0</v>
      </c>
      <c r="DL51" s="373">
        <v>0</v>
      </c>
      <c r="DM51" s="373">
        <v>0</v>
      </c>
      <c r="DN51" s="373">
        <v>0</v>
      </c>
      <c r="DO51" s="373">
        <v>0</v>
      </c>
      <c r="DP51" s="373">
        <v>0</v>
      </c>
      <c r="DQ51" s="373">
        <v>0</v>
      </c>
      <c r="DR51" s="373">
        <v>0</v>
      </c>
      <c r="DS51" s="365">
        <v>0</v>
      </c>
      <c r="DT51" s="374">
        <f t="shared" si="44"/>
        <v>80990.306000000011</v>
      </c>
      <c r="DU51" s="375">
        <f t="shared" si="45"/>
        <v>0</v>
      </c>
      <c r="DV51" s="376"/>
      <c r="DW51" s="138" t="b">
        <f t="shared" si="46"/>
        <v>1</v>
      </c>
    </row>
    <row r="52" spans="1:127" s="138" customFormat="1" ht="12" customHeight="1">
      <c r="A52" s="169" t="s">
        <v>379</v>
      </c>
      <c r="B52" s="170"/>
      <c r="C52" s="171" t="s">
        <v>280</v>
      </c>
      <c r="D52" s="171"/>
      <c r="E52" s="365">
        <f t="shared" ref="E52:E68" si="48">$E$51</f>
        <v>74.010000000000005</v>
      </c>
      <c r="F52" s="365">
        <f t="shared" ref="F52:F68" si="49">$F$51</f>
        <v>1.08</v>
      </c>
      <c r="G52" s="365">
        <f t="shared" si="36"/>
        <v>75.09</v>
      </c>
      <c r="H52" s="365">
        <f t="shared" ref="H52:H68" si="50">$H$51</f>
        <v>9.06</v>
      </c>
      <c r="I52" s="365">
        <f t="shared" si="47"/>
        <v>149.1</v>
      </c>
      <c r="J52" s="366">
        <f t="shared" si="37"/>
        <v>1350.846</v>
      </c>
      <c r="K52" s="378" t="s">
        <v>380</v>
      </c>
      <c r="L52" s="378" t="s">
        <v>329</v>
      </c>
      <c r="M52" s="365">
        <v>5000</v>
      </c>
      <c r="N52" s="379">
        <f t="shared" ref="N52:N68" si="51">+$N$51</f>
        <v>994</v>
      </c>
      <c r="O52" s="382">
        <f t="shared" si="38"/>
        <v>80990.306000000011</v>
      </c>
      <c r="P52" s="370">
        <f t="shared" si="39"/>
        <v>1078.5764549207618</v>
      </c>
      <c r="Q52" s="172">
        <v>0.01</v>
      </c>
      <c r="R52" s="371">
        <f t="shared" si="40"/>
        <v>809.9030600000001</v>
      </c>
      <c r="S52" s="172">
        <v>0.04</v>
      </c>
      <c r="T52" s="371">
        <f t="shared" si="41"/>
        <v>3239.6122400000004</v>
      </c>
      <c r="U52" s="372">
        <f t="shared" si="42"/>
        <v>5</v>
      </c>
      <c r="V52" s="172">
        <v>0.95</v>
      </c>
      <c r="W52" s="371">
        <f t="shared" si="43"/>
        <v>76940.790700000012</v>
      </c>
      <c r="X52" s="373"/>
      <c r="Y52" s="373"/>
      <c r="Z52" s="373">
        <f>+$R52</f>
        <v>809.9030600000001</v>
      </c>
      <c r="AA52" s="373">
        <f>+$T52/5</f>
        <v>647.92244800000003</v>
      </c>
      <c r="AB52" s="373">
        <f>+AA52</f>
        <v>647.92244800000003</v>
      </c>
      <c r="AC52" s="373">
        <f>+AB52</f>
        <v>647.92244800000003</v>
      </c>
      <c r="AD52" s="373">
        <f>+AC52</f>
        <v>647.92244800000003</v>
      </c>
      <c r="AE52" s="373">
        <f>+AD52</f>
        <v>647.92244800000003</v>
      </c>
      <c r="AF52" s="373">
        <f>+$W52</f>
        <v>76940.790700000012</v>
      </c>
      <c r="AG52" s="373">
        <v>0</v>
      </c>
      <c r="AH52" s="373">
        <v>0</v>
      </c>
      <c r="AI52" s="373">
        <v>0</v>
      </c>
      <c r="AJ52" s="373">
        <v>0</v>
      </c>
      <c r="AK52" s="373">
        <v>0</v>
      </c>
      <c r="AL52" s="373">
        <v>0</v>
      </c>
      <c r="AM52" s="373">
        <v>0</v>
      </c>
      <c r="AN52" s="373">
        <v>0</v>
      </c>
      <c r="AO52" s="373">
        <v>0</v>
      </c>
      <c r="AP52" s="373">
        <v>0</v>
      </c>
      <c r="AQ52" s="373">
        <v>0</v>
      </c>
      <c r="AR52" s="373">
        <v>0</v>
      </c>
      <c r="AS52" s="373">
        <v>0</v>
      </c>
      <c r="AT52" s="373">
        <v>0</v>
      </c>
      <c r="AU52" s="373">
        <v>0</v>
      </c>
      <c r="AV52" s="373">
        <v>0</v>
      </c>
      <c r="AW52" s="373">
        <v>0</v>
      </c>
      <c r="AX52" s="373">
        <v>0</v>
      </c>
      <c r="AY52" s="373">
        <v>0</v>
      </c>
      <c r="AZ52" s="373">
        <v>0</v>
      </c>
      <c r="BA52" s="373">
        <v>0</v>
      </c>
      <c r="BB52" s="373">
        <v>0</v>
      </c>
      <c r="BC52" s="373">
        <v>0</v>
      </c>
      <c r="BD52" s="373">
        <v>0</v>
      </c>
      <c r="BE52" s="373">
        <v>0</v>
      </c>
      <c r="BF52" s="373">
        <v>0</v>
      </c>
      <c r="BG52" s="373">
        <v>0</v>
      </c>
      <c r="BH52" s="373">
        <v>0</v>
      </c>
      <c r="BI52" s="373">
        <v>0</v>
      </c>
      <c r="BJ52" s="373">
        <v>0</v>
      </c>
      <c r="BK52" s="373">
        <v>0</v>
      </c>
      <c r="BL52" s="373">
        <v>0</v>
      </c>
      <c r="BM52" s="373">
        <v>0</v>
      </c>
      <c r="BN52" s="373">
        <v>0</v>
      </c>
      <c r="BO52" s="373">
        <v>0</v>
      </c>
      <c r="BP52" s="373">
        <v>0</v>
      </c>
      <c r="BQ52" s="373">
        <v>0</v>
      </c>
      <c r="BR52" s="373">
        <v>0</v>
      </c>
      <c r="BS52" s="373">
        <v>0</v>
      </c>
      <c r="BT52" s="373">
        <v>0</v>
      </c>
      <c r="BU52" s="373">
        <v>0</v>
      </c>
      <c r="BV52" s="373">
        <v>0</v>
      </c>
      <c r="BW52" s="373">
        <v>0</v>
      </c>
      <c r="BX52" s="373">
        <v>0</v>
      </c>
      <c r="BY52" s="373">
        <v>0</v>
      </c>
      <c r="BZ52" s="373">
        <v>0</v>
      </c>
      <c r="CA52" s="373">
        <v>0</v>
      </c>
      <c r="CB52" s="373">
        <v>0</v>
      </c>
      <c r="CC52" s="373">
        <v>0</v>
      </c>
      <c r="CD52" s="373">
        <v>0</v>
      </c>
      <c r="CE52" s="373">
        <v>0</v>
      </c>
      <c r="CF52" s="373">
        <v>0</v>
      </c>
      <c r="CG52" s="373">
        <v>0</v>
      </c>
      <c r="CH52" s="373">
        <v>0</v>
      </c>
      <c r="CI52" s="373">
        <v>0</v>
      </c>
      <c r="CJ52" s="373">
        <v>0</v>
      </c>
      <c r="CK52" s="373">
        <v>0</v>
      </c>
      <c r="CL52" s="373">
        <v>0</v>
      </c>
      <c r="CM52" s="373">
        <v>0</v>
      </c>
      <c r="CN52" s="373">
        <v>0</v>
      </c>
      <c r="CO52" s="373">
        <v>0</v>
      </c>
      <c r="CP52" s="373">
        <v>0</v>
      </c>
      <c r="CQ52" s="373">
        <v>0</v>
      </c>
      <c r="CR52" s="373">
        <v>0</v>
      </c>
      <c r="CS52" s="373">
        <v>0</v>
      </c>
      <c r="CT52" s="373">
        <v>0</v>
      </c>
      <c r="CU52" s="373">
        <v>0</v>
      </c>
      <c r="CV52" s="373">
        <v>0</v>
      </c>
      <c r="CW52" s="373">
        <v>0</v>
      </c>
      <c r="CX52" s="373">
        <v>0</v>
      </c>
      <c r="CY52" s="373">
        <v>0</v>
      </c>
      <c r="CZ52" s="373">
        <v>0</v>
      </c>
      <c r="DA52" s="373">
        <v>0</v>
      </c>
      <c r="DB52" s="373">
        <v>0</v>
      </c>
      <c r="DC52" s="373">
        <v>0</v>
      </c>
      <c r="DD52" s="373">
        <v>0</v>
      </c>
      <c r="DE52" s="373">
        <v>0</v>
      </c>
      <c r="DF52" s="373">
        <v>0</v>
      </c>
      <c r="DG52" s="373">
        <v>0</v>
      </c>
      <c r="DH52" s="373">
        <v>0</v>
      </c>
      <c r="DI52" s="373">
        <v>0</v>
      </c>
      <c r="DJ52" s="373">
        <v>0</v>
      </c>
      <c r="DK52" s="373">
        <v>0</v>
      </c>
      <c r="DL52" s="373">
        <v>0</v>
      </c>
      <c r="DM52" s="373">
        <v>0</v>
      </c>
      <c r="DN52" s="373">
        <v>0</v>
      </c>
      <c r="DO52" s="373">
        <v>0</v>
      </c>
      <c r="DP52" s="373">
        <v>0</v>
      </c>
      <c r="DQ52" s="373">
        <v>0</v>
      </c>
      <c r="DR52" s="373">
        <v>0</v>
      </c>
      <c r="DS52" s="365">
        <v>0</v>
      </c>
      <c r="DT52" s="374">
        <f t="shared" si="44"/>
        <v>80990.306000000011</v>
      </c>
      <c r="DU52" s="375">
        <f t="shared" si="45"/>
        <v>0</v>
      </c>
      <c r="DV52" s="376"/>
      <c r="DW52" s="138" t="b">
        <f t="shared" si="46"/>
        <v>1</v>
      </c>
    </row>
    <row r="53" spans="1:127" s="138" customFormat="1" ht="12" customHeight="1">
      <c r="A53" s="169" t="s">
        <v>381</v>
      </c>
      <c r="B53" s="170"/>
      <c r="C53" s="171" t="s">
        <v>280</v>
      </c>
      <c r="D53" s="171"/>
      <c r="E53" s="365">
        <f t="shared" si="48"/>
        <v>74.010000000000005</v>
      </c>
      <c r="F53" s="365">
        <f t="shared" si="49"/>
        <v>1.08</v>
      </c>
      <c r="G53" s="365">
        <f t="shared" si="36"/>
        <v>75.09</v>
      </c>
      <c r="H53" s="365">
        <f t="shared" si="50"/>
        <v>9.06</v>
      </c>
      <c r="I53" s="365">
        <f t="shared" si="47"/>
        <v>149.1</v>
      </c>
      <c r="J53" s="366">
        <f t="shared" si="37"/>
        <v>1350.846</v>
      </c>
      <c r="K53" s="378" t="s">
        <v>382</v>
      </c>
      <c r="L53" s="378" t="s">
        <v>329</v>
      </c>
      <c r="M53" s="365">
        <v>5000</v>
      </c>
      <c r="N53" s="379">
        <f t="shared" si="51"/>
        <v>994</v>
      </c>
      <c r="O53" s="382">
        <f t="shared" si="38"/>
        <v>80990.306000000011</v>
      </c>
      <c r="P53" s="370">
        <f t="shared" si="39"/>
        <v>1078.5764549207618</v>
      </c>
      <c r="Q53" s="172">
        <v>0.01</v>
      </c>
      <c r="R53" s="371">
        <f t="shared" si="40"/>
        <v>809.9030600000001</v>
      </c>
      <c r="S53" s="172">
        <v>0.04</v>
      </c>
      <c r="T53" s="371">
        <f t="shared" si="41"/>
        <v>3239.6122400000004</v>
      </c>
      <c r="U53" s="372">
        <f t="shared" si="42"/>
        <v>3</v>
      </c>
      <c r="V53" s="172">
        <v>0.95</v>
      </c>
      <c r="W53" s="371">
        <f t="shared" si="43"/>
        <v>76940.790700000012</v>
      </c>
      <c r="X53" s="373"/>
      <c r="Y53" s="373"/>
      <c r="Z53" s="373">
        <f>+$R53</f>
        <v>809.9030600000001</v>
      </c>
      <c r="AA53" s="373">
        <f>+$T53/3</f>
        <v>1079.8707466666667</v>
      </c>
      <c r="AB53" s="373">
        <f>+AA53</f>
        <v>1079.8707466666667</v>
      </c>
      <c r="AC53" s="373">
        <f>+AB53</f>
        <v>1079.8707466666667</v>
      </c>
      <c r="AD53" s="373">
        <f>+$W53</f>
        <v>76940.790700000012</v>
      </c>
      <c r="AE53" s="373">
        <v>0</v>
      </c>
      <c r="AF53" s="373">
        <v>0</v>
      </c>
      <c r="AG53" s="373">
        <v>0</v>
      </c>
      <c r="AH53" s="373">
        <v>0</v>
      </c>
      <c r="AI53" s="373">
        <v>0</v>
      </c>
      <c r="AJ53" s="373">
        <v>0</v>
      </c>
      <c r="AK53" s="373">
        <v>0</v>
      </c>
      <c r="AL53" s="373">
        <v>0</v>
      </c>
      <c r="AM53" s="373">
        <v>0</v>
      </c>
      <c r="AN53" s="373">
        <v>0</v>
      </c>
      <c r="AO53" s="373">
        <v>0</v>
      </c>
      <c r="AP53" s="373">
        <v>0</v>
      </c>
      <c r="AQ53" s="373">
        <v>0</v>
      </c>
      <c r="AR53" s="373">
        <v>0</v>
      </c>
      <c r="AS53" s="373">
        <v>0</v>
      </c>
      <c r="AT53" s="373">
        <v>0</v>
      </c>
      <c r="AU53" s="373">
        <v>0</v>
      </c>
      <c r="AV53" s="373">
        <v>0</v>
      </c>
      <c r="AW53" s="373">
        <v>0</v>
      </c>
      <c r="AX53" s="373">
        <v>0</v>
      </c>
      <c r="AY53" s="373">
        <v>0</v>
      </c>
      <c r="AZ53" s="373">
        <v>0</v>
      </c>
      <c r="BA53" s="373">
        <v>0</v>
      </c>
      <c r="BB53" s="373">
        <v>0</v>
      </c>
      <c r="BC53" s="373">
        <v>0</v>
      </c>
      <c r="BD53" s="373">
        <v>0</v>
      </c>
      <c r="BE53" s="373">
        <v>0</v>
      </c>
      <c r="BF53" s="373">
        <v>0</v>
      </c>
      <c r="BG53" s="373">
        <v>0</v>
      </c>
      <c r="BH53" s="373">
        <v>0</v>
      </c>
      <c r="BI53" s="373">
        <v>0</v>
      </c>
      <c r="BJ53" s="373">
        <v>0</v>
      </c>
      <c r="BK53" s="373">
        <v>0</v>
      </c>
      <c r="BL53" s="373">
        <v>0</v>
      </c>
      <c r="BM53" s="373">
        <v>0</v>
      </c>
      <c r="BN53" s="373">
        <v>0</v>
      </c>
      <c r="BO53" s="373">
        <v>0</v>
      </c>
      <c r="BP53" s="373">
        <v>0</v>
      </c>
      <c r="BQ53" s="373">
        <v>0</v>
      </c>
      <c r="BR53" s="373">
        <v>0</v>
      </c>
      <c r="BS53" s="373">
        <v>0</v>
      </c>
      <c r="BT53" s="373">
        <v>0</v>
      </c>
      <c r="BU53" s="373">
        <v>0</v>
      </c>
      <c r="BV53" s="373">
        <v>0</v>
      </c>
      <c r="BW53" s="373">
        <v>0</v>
      </c>
      <c r="BX53" s="373">
        <v>0</v>
      </c>
      <c r="BY53" s="373">
        <v>0</v>
      </c>
      <c r="BZ53" s="373">
        <v>0</v>
      </c>
      <c r="CA53" s="373">
        <v>0</v>
      </c>
      <c r="CB53" s="373">
        <v>0</v>
      </c>
      <c r="CC53" s="373">
        <v>0</v>
      </c>
      <c r="CD53" s="373">
        <v>0</v>
      </c>
      <c r="CE53" s="373">
        <v>0</v>
      </c>
      <c r="CF53" s="373">
        <v>0</v>
      </c>
      <c r="CG53" s="373">
        <v>0</v>
      </c>
      <c r="CH53" s="373">
        <v>0</v>
      </c>
      <c r="CI53" s="373">
        <v>0</v>
      </c>
      <c r="CJ53" s="373">
        <v>0</v>
      </c>
      <c r="CK53" s="373">
        <v>0</v>
      </c>
      <c r="CL53" s="373">
        <v>0</v>
      </c>
      <c r="CM53" s="373">
        <v>0</v>
      </c>
      <c r="CN53" s="373">
        <v>0</v>
      </c>
      <c r="CO53" s="373">
        <v>0</v>
      </c>
      <c r="CP53" s="373">
        <v>0</v>
      </c>
      <c r="CQ53" s="373">
        <v>0</v>
      </c>
      <c r="CR53" s="373">
        <v>0</v>
      </c>
      <c r="CS53" s="373">
        <v>0</v>
      </c>
      <c r="CT53" s="373">
        <v>0</v>
      </c>
      <c r="CU53" s="373">
        <v>0</v>
      </c>
      <c r="CV53" s="373">
        <v>0</v>
      </c>
      <c r="CW53" s="373">
        <v>0</v>
      </c>
      <c r="CX53" s="373">
        <v>0</v>
      </c>
      <c r="CY53" s="373">
        <v>0</v>
      </c>
      <c r="CZ53" s="373">
        <v>0</v>
      </c>
      <c r="DA53" s="373">
        <v>0</v>
      </c>
      <c r="DB53" s="373">
        <v>0</v>
      </c>
      <c r="DC53" s="373">
        <v>0</v>
      </c>
      <c r="DD53" s="373">
        <v>0</v>
      </c>
      <c r="DE53" s="373">
        <v>0</v>
      </c>
      <c r="DF53" s="373">
        <v>0</v>
      </c>
      <c r="DG53" s="373">
        <v>0</v>
      </c>
      <c r="DH53" s="373">
        <v>0</v>
      </c>
      <c r="DI53" s="373">
        <v>0</v>
      </c>
      <c r="DJ53" s="373">
        <v>0</v>
      </c>
      <c r="DK53" s="373">
        <v>0</v>
      </c>
      <c r="DL53" s="373">
        <v>0</v>
      </c>
      <c r="DM53" s="373">
        <v>0</v>
      </c>
      <c r="DN53" s="373">
        <v>0</v>
      </c>
      <c r="DO53" s="373">
        <v>0</v>
      </c>
      <c r="DP53" s="373">
        <v>0</v>
      </c>
      <c r="DQ53" s="373">
        <v>0</v>
      </c>
      <c r="DR53" s="373">
        <v>0</v>
      </c>
      <c r="DS53" s="365">
        <v>0</v>
      </c>
      <c r="DT53" s="374">
        <f t="shared" si="44"/>
        <v>80990.306000000011</v>
      </c>
      <c r="DU53" s="375">
        <f t="shared" si="45"/>
        <v>0</v>
      </c>
      <c r="DV53" s="376"/>
      <c r="DW53" s="138" t="b">
        <f t="shared" si="46"/>
        <v>1</v>
      </c>
    </row>
    <row r="54" spans="1:127" s="138" customFormat="1" ht="12" customHeight="1">
      <c r="A54" s="169" t="s">
        <v>383</v>
      </c>
      <c r="B54" s="170"/>
      <c r="C54" s="171" t="s">
        <v>280</v>
      </c>
      <c r="D54" s="171"/>
      <c r="E54" s="365">
        <f t="shared" si="48"/>
        <v>74.010000000000005</v>
      </c>
      <c r="F54" s="365">
        <f t="shared" si="49"/>
        <v>1.08</v>
      </c>
      <c r="G54" s="365">
        <f t="shared" si="36"/>
        <v>75.09</v>
      </c>
      <c r="H54" s="365">
        <f t="shared" si="50"/>
        <v>9.06</v>
      </c>
      <c r="I54" s="365">
        <f t="shared" si="47"/>
        <v>149.1</v>
      </c>
      <c r="J54" s="366">
        <f t="shared" si="37"/>
        <v>1350.846</v>
      </c>
      <c r="K54" s="378" t="s">
        <v>384</v>
      </c>
      <c r="L54" s="378" t="s">
        <v>329</v>
      </c>
      <c r="M54" s="365">
        <v>5000</v>
      </c>
      <c r="N54" s="379">
        <f t="shared" si="51"/>
        <v>994</v>
      </c>
      <c r="O54" s="382">
        <f t="shared" si="38"/>
        <v>80990.306000000011</v>
      </c>
      <c r="P54" s="370">
        <f t="shared" si="39"/>
        <v>1078.5764549207618</v>
      </c>
      <c r="Q54" s="172">
        <v>0.01</v>
      </c>
      <c r="R54" s="371">
        <f t="shared" si="40"/>
        <v>809.9030600000001</v>
      </c>
      <c r="S54" s="172">
        <v>0.04</v>
      </c>
      <c r="T54" s="371">
        <f t="shared" si="41"/>
        <v>3239.6122400000004</v>
      </c>
      <c r="U54" s="372">
        <f t="shared" si="42"/>
        <v>5</v>
      </c>
      <c r="V54" s="172">
        <v>0.95</v>
      </c>
      <c r="W54" s="371">
        <f t="shared" si="43"/>
        <v>76940.790700000012</v>
      </c>
      <c r="X54" s="373"/>
      <c r="Y54" s="373"/>
      <c r="Z54" s="373"/>
      <c r="AA54" s="373">
        <f>+$R54</f>
        <v>809.9030600000001</v>
      </c>
      <c r="AB54" s="373">
        <f>+$T54/5</f>
        <v>647.92244800000003</v>
      </c>
      <c r="AC54" s="373">
        <f>+AB54</f>
        <v>647.92244800000003</v>
      </c>
      <c r="AD54" s="373">
        <f>+AC54</f>
        <v>647.92244800000003</v>
      </c>
      <c r="AE54" s="373">
        <f>+AD54</f>
        <v>647.92244800000003</v>
      </c>
      <c r="AF54" s="373">
        <f>+AE54</f>
        <v>647.92244800000003</v>
      </c>
      <c r="AG54" s="373">
        <f>+$W54</f>
        <v>76940.790700000012</v>
      </c>
      <c r="AH54" s="373">
        <v>0</v>
      </c>
      <c r="AI54" s="373">
        <v>0</v>
      </c>
      <c r="AJ54" s="373">
        <v>0</v>
      </c>
      <c r="AK54" s="373">
        <v>0</v>
      </c>
      <c r="AL54" s="373">
        <v>0</v>
      </c>
      <c r="AM54" s="373">
        <v>0</v>
      </c>
      <c r="AN54" s="373">
        <v>0</v>
      </c>
      <c r="AO54" s="373">
        <v>0</v>
      </c>
      <c r="AP54" s="373">
        <v>0</v>
      </c>
      <c r="AQ54" s="373">
        <v>0</v>
      </c>
      <c r="AR54" s="373">
        <v>0</v>
      </c>
      <c r="AS54" s="373">
        <v>0</v>
      </c>
      <c r="AT54" s="373">
        <v>0</v>
      </c>
      <c r="AU54" s="373">
        <v>0</v>
      </c>
      <c r="AV54" s="373">
        <v>0</v>
      </c>
      <c r="AW54" s="373">
        <v>0</v>
      </c>
      <c r="AX54" s="373">
        <v>0</v>
      </c>
      <c r="AY54" s="373">
        <v>0</v>
      </c>
      <c r="AZ54" s="373">
        <v>0</v>
      </c>
      <c r="BA54" s="373">
        <v>0</v>
      </c>
      <c r="BB54" s="373">
        <v>0</v>
      </c>
      <c r="BC54" s="373">
        <v>0</v>
      </c>
      <c r="BD54" s="373">
        <v>0</v>
      </c>
      <c r="BE54" s="373">
        <v>0</v>
      </c>
      <c r="BF54" s="373">
        <v>0</v>
      </c>
      <c r="BG54" s="373">
        <v>0</v>
      </c>
      <c r="BH54" s="373">
        <v>0</v>
      </c>
      <c r="BI54" s="373">
        <v>0</v>
      </c>
      <c r="BJ54" s="373">
        <v>0</v>
      </c>
      <c r="BK54" s="373">
        <v>0</v>
      </c>
      <c r="BL54" s="373">
        <v>0</v>
      </c>
      <c r="BM54" s="373">
        <v>0</v>
      </c>
      <c r="BN54" s="373">
        <v>0</v>
      </c>
      <c r="BO54" s="373">
        <v>0</v>
      </c>
      <c r="BP54" s="373">
        <v>0</v>
      </c>
      <c r="BQ54" s="373">
        <v>0</v>
      </c>
      <c r="BR54" s="373">
        <v>0</v>
      </c>
      <c r="BS54" s="373">
        <v>0</v>
      </c>
      <c r="BT54" s="373">
        <v>0</v>
      </c>
      <c r="BU54" s="373">
        <v>0</v>
      </c>
      <c r="BV54" s="373">
        <v>0</v>
      </c>
      <c r="BW54" s="373">
        <v>0</v>
      </c>
      <c r="BX54" s="373">
        <v>0</v>
      </c>
      <c r="BY54" s="373">
        <v>0</v>
      </c>
      <c r="BZ54" s="373">
        <v>0</v>
      </c>
      <c r="CA54" s="373">
        <v>0</v>
      </c>
      <c r="CB54" s="373">
        <v>0</v>
      </c>
      <c r="CC54" s="373">
        <v>0</v>
      </c>
      <c r="CD54" s="373">
        <v>0</v>
      </c>
      <c r="CE54" s="373">
        <v>0</v>
      </c>
      <c r="CF54" s="373">
        <v>0</v>
      </c>
      <c r="CG54" s="373">
        <v>0</v>
      </c>
      <c r="CH54" s="373">
        <v>0</v>
      </c>
      <c r="CI54" s="373">
        <v>0</v>
      </c>
      <c r="CJ54" s="373">
        <v>0</v>
      </c>
      <c r="CK54" s="373">
        <v>0</v>
      </c>
      <c r="CL54" s="373">
        <v>0</v>
      </c>
      <c r="CM54" s="373">
        <v>0</v>
      </c>
      <c r="CN54" s="373">
        <v>0</v>
      </c>
      <c r="CO54" s="373">
        <v>0</v>
      </c>
      <c r="CP54" s="373">
        <v>0</v>
      </c>
      <c r="CQ54" s="373">
        <v>0</v>
      </c>
      <c r="CR54" s="373">
        <v>0</v>
      </c>
      <c r="CS54" s="373">
        <v>0</v>
      </c>
      <c r="CT54" s="373">
        <v>0</v>
      </c>
      <c r="CU54" s="373">
        <v>0</v>
      </c>
      <c r="CV54" s="373">
        <v>0</v>
      </c>
      <c r="CW54" s="373">
        <v>0</v>
      </c>
      <c r="CX54" s="373">
        <v>0</v>
      </c>
      <c r="CY54" s="373">
        <v>0</v>
      </c>
      <c r="CZ54" s="373">
        <v>0</v>
      </c>
      <c r="DA54" s="373">
        <v>0</v>
      </c>
      <c r="DB54" s="373">
        <v>0</v>
      </c>
      <c r="DC54" s="373">
        <v>0</v>
      </c>
      <c r="DD54" s="373">
        <v>0</v>
      </c>
      <c r="DE54" s="373">
        <v>0</v>
      </c>
      <c r="DF54" s="373">
        <v>0</v>
      </c>
      <c r="DG54" s="373">
        <v>0</v>
      </c>
      <c r="DH54" s="373">
        <v>0</v>
      </c>
      <c r="DI54" s="373">
        <v>0</v>
      </c>
      <c r="DJ54" s="373">
        <v>0</v>
      </c>
      <c r="DK54" s="373">
        <v>0</v>
      </c>
      <c r="DL54" s="373">
        <v>0</v>
      </c>
      <c r="DM54" s="373">
        <v>0</v>
      </c>
      <c r="DN54" s="373">
        <v>0</v>
      </c>
      <c r="DO54" s="373">
        <v>0</v>
      </c>
      <c r="DP54" s="373">
        <v>0</v>
      </c>
      <c r="DQ54" s="373">
        <v>0</v>
      </c>
      <c r="DR54" s="373">
        <v>0</v>
      </c>
      <c r="DS54" s="365">
        <v>0</v>
      </c>
      <c r="DT54" s="374">
        <f t="shared" si="44"/>
        <v>80990.306000000011</v>
      </c>
      <c r="DU54" s="375">
        <f t="shared" si="45"/>
        <v>0</v>
      </c>
      <c r="DV54" s="376"/>
      <c r="DW54" s="138" t="b">
        <f t="shared" si="46"/>
        <v>1</v>
      </c>
    </row>
    <row r="55" spans="1:127" s="138" customFormat="1" ht="12" customHeight="1">
      <c r="A55" s="169" t="s">
        <v>385</v>
      </c>
      <c r="B55" s="170"/>
      <c r="C55" s="171" t="s">
        <v>280</v>
      </c>
      <c r="D55" s="171"/>
      <c r="E55" s="365">
        <f t="shared" si="48"/>
        <v>74.010000000000005</v>
      </c>
      <c r="F55" s="365">
        <f t="shared" si="49"/>
        <v>1.08</v>
      </c>
      <c r="G55" s="365">
        <f t="shared" si="36"/>
        <v>75.09</v>
      </c>
      <c r="H55" s="365">
        <f t="shared" si="50"/>
        <v>9.06</v>
      </c>
      <c r="I55" s="365">
        <f t="shared" si="47"/>
        <v>149.1</v>
      </c>
      <c r="J55" s="366">
        <f t="shared" si="37"/>
        <v>1350.846</v>
      </c>
      <c r="K55" s="378" t="s">
        <v>386</v>
      </c>
      <c r="L55" s="378" t="s">
        <v>329</v>
      </c>
      <c r="M55" s="365">
        <v>5000</v>
      </c>
      <c r="N55" s="379">
        <f t="shared" si="51"/>
        <v>994</v>
      </c>
      <c r="O55" s="382">
        <f t="shared" si="38"/>
        <v>80990.306000000011</v>
      </c>
      <c r="P55" s="370">
        <f t="shared" si="39"/>
        <v>1078.5764549207618</v>
      </c>
      <c r="Q55" s="172">
        <v>0.01</v>
      </c>
      <c r="R55" s="371">
        <f t="shared" si="40"/>
        <v>809.9030600000001</v>
      </c>
      <c r="S55" s="172">
        <v>0.04</v>
      </c>
      <c r="T55" s="371">
        <f t="shared" si="41"/>
        <v>3239.6122400000004</v>
      </c>
      <c r="U55" s="372">
        <f t="shared" si="42"/>
        <v>3</v>
      </c>
      <c r="V55" s="172">
        <v>0.95</v>
      </c>
      <c r="W55" s="371">
        <f t="shared" si="43"/>
        <v>76940.790700000012</v>
      </c>
      <c r="X55" s="373"/>
      <c r="Y55" s="373"/>
      <c r="Z55" s="373"/>
      <c r="AA55" s="373">
        <f>+$R55</f>
        <v>809.9030600000001</v>
      </c>
      <c r="AB55" s="373">
        <f>+$T55/3</f>
        <v>1079.8707466666667</v>
      </c>
      <c r="AC55" s="373">
        <f>+AB55</f>
        <v>1079.8707466666667</v>
      </c>
      <c r="AD55" s="373">
        <f>+AC55</f>
        <v>1079.8707466666667</v>
      </c>
      <c r="AE55" s="373">
        <f>+$W55</f>
        <v>76940.790700000012</v>
      </c>
      <c r="AF55" s="373">
        <v>0</v>
      </c>
      <c r="AG55" s="373">
        <v>0</v>
      </c>
      <c r="AH55" s="373">
        <v>0</v>
      </c>
      <c r="AI55" s="373">
        <v>0</v>
      </c>
      <c r="AJ55" s="373">
        <v>0</v>
      </c>
      <c r="AK55" s="373">
        <v>0</v>
      </c>
      <c r="AL55" s="373">
        <v>0</v>
      </c>
      <c r="AM55" s="373">
        <v>0</v>
      </c>
      <c r="AN55" s="373">
        <v>0</v>
      </c>
      <c r="AO55" s="373">
        <v>0</v>
      </c>
      <c r="AP55" s="373">
        <v>0</v>
      </c>
      <c r="AQ55" s="373">
        <v>0</v>
      </c>
      <c r="AR55" s="373">
        <v>0</v>
      </c>
      <c r="AS55" s="373">
        <v>0</v>
      </c>
      <c r="AT55" s="373">
        <v>0</v>
      </c>
      <c r="AU55" s="373">
        <v>0</v>
      </c>
      <c r="AV55" s="373">
        <v>0</v>
      </c>
      <c r="AW55" s="373">
        <v>0</v>
      </c>
      <c r="AX55" s="373">
        <v>0</v>
      </c>
      <c r="AY55" s="373">
        <v>0</v>
      </c>
      <c r="AZ55" s="373">
        <v>0</v>
      </c>
      <c r="BA55" s="373">
        <v>0</v>
      </c>
      <c r="BB55" s="373">
        <v>0</v>
      </c>
      <c r="BC55" s="373">
        <v>0</v>
      </c>
      <c r="BD55" s="373">
        <v>0</v>
      </c>
      <c r="BE55" s="373">
        <v>0</v>
      </c>
      <c r="BF55" s="373">
        <v>0</v>
      </c>
      <c r="BG55" s="373">
        <v>0</v>
      </c>
      <c r="BH55" s="373">
        <v>0</v>
      </c>
      <c r="BI55" s="373">
        <v>0</v>
      </c>
      <c r="BJ55" s="373">
        <v>0</v>
      </c>
      <c r="BK55" s="373">
        <v>0</v>
      </c>
      <c r="BL55" s="373">
        <v>0</v>
      </c>
      <c r="BM55" s="373">
        <v>0</v>
      </c>
      <c r="BN55" s="373">
        <v>0</v>
      </c>
      <c r="BO55" s="373">
        <v>0</v>
      </c>
      <c r="BP55" s="373">
        <v>0</v>
      </c>
      <c r="BQ55" s="373">
        <v>0</v>
      </c>
      <c r="BR55" s="373">
        <v>0</v>
      </c>
      <c r="BS55" s="373">
        <v>0</v>
      </c>
      <c r="BT55" s="373">
        <v>0</v>
      </c>
      <c r="BU55" s="373">
        <v>0</v>
      </c>
      <c r="BV55" s="373">
        <v>0</v>
      </c>
      <c r="BW55" s="373">
        <v>0</v>
      </c>
      <c r="BX55" s="373">
        <v>0</v>
      </c>
      <c r="BY55" s="373">
        <v>0</v>
      </c>
      <c r="BZ55" s="373">
        <v>0</v>
      </c>
      <c r="CA55" s="373">
        <v>0</v>
      </c>
      <c r="CB55" s="373">
        <v>0</v>
      </c>
      <c r="CC55" s="373">
        <v>0</v>
      </c>
      <c r="CD55" s="373">
        <v>0</v>
      </c>
      <c r="CE55" s="373">
        <v>0</v>
      </c>
      <c r="CF55" s="373">
        <v>0</v>
      </c>
      <c r="CG55" s="373">
        <v>0</v>
      </c>
      <c r="CH55" s="373">
        <v>0</v>
      </c>
      <c r="CI55" s="373">
        <v>0</v>
      </c>
      <c r="CJ55" s="373">
        <v>0</v>
      </c>
      <c r="CK55" s="373">
        <v>0</v>
      </c>
      <c r="CL55" s="373">
        <v>0</v>
      </c>
      <c r="CM55" s="373">
        <v>0</v>
      </c>
      <c r="CN55" s="373">
        <v>0</v>
      </c>
      <c r="CO55" s="373">
        <v>0</v>
      </c>
      <c r="CP55" s="373">
        <v>0</v>
      </c>
      <c r="CQ55" s="373">
        <v>0</v>
      </c>
      <c r="CR55" s="373">
        <v>0</v>
      </c>
      <c r="CS55" s="373">
        <v>0</v>
      </c>
      <c r="CT55" s="373">
        <v>0</v>
      </c>
      <c r="CU55" s="373">
        <v>0</v>
      </c>
      <c r="CV55" s="373">
        <v>0</v>
      </c>
      <c r="CW55" s="373">
        <v>0</v>
      </c>
      <c r="CX55" s="373">
        <v>0</v>
      </c>
      <c r="CY55" s="373">
        <v>0</v>
      </c>
      <c r="CZ55" s="373">
        <v>0</v>
      </c>
      <c r="DA55" s="373">
        <v>0</v>
      </c>
      <c r="DB55" s="373">
        <v>0</v>
      </c>
      <c r="DC55" s="373">
        <v>0</v>
      </c>
      <c r="DD55" s="373">
        <v>0</v>
      </c>
      <c r="DE55" s="373">
        <v>0</v>
      </c>
      <c r="DF55" s="373">
        <v>0</v>
      </c>
      <c r="DG55" s="373">
        <v>0</v>
      </c>
      <c r="DH55" s="373">
        <v>0</v>
      </c>
      <c r="DI55" s="373">
        <v>0</v>
      </c>
      <c r="DJ55" s="373">
        <v>0</v>
      </c>
      <c r="DK55" s="373">
        <v>0</v>
      </c>
      <c r="DL55" s="373">
        <v>0</v>
      </c>
      <c r="DM55" s="373">
        <v>0</v>
      </c>
      <c r="DN55" s="373">
        <v>0</v>
      </c>
      <c r="DO55" s="373">
        <v>0</v>
      </c>
      <c r="DP55" s="373">
        <v>0</v>
      </c>
      <c r="DQ55" s="373">
        <v>0</v>
      </c>
      <c r="DR55" s="373">
        <v>0</v>
      </c>
      <c r="DS55" s="365">
        <v>0</v>
      </c>
      <c r="DT55" s="374">
        <f t="shared" si="44"/>
        <v>80990.306000000011</v>
      </c>
      <c r="DU55" s="375">
        <f t="shared" si="45"/>
        <v>0</v>
      </c>
      <c r="DV55" s="376"/>
      <c r="DW55" s="138" t="b">
        <f t="shared" si="46"/>
        <v>1</v>
      </c>
    </row>
    <row r="56" spans="1:127" s="138" customFormat="1" ht="12" customHeight="1">
      <c r="A56" s="169" t="s">
        <v>387</v>
      </c>
      <c r="B56" s="170"/>
      <c r="C56" s="171" t="s">
        <v>280</v>
      </c>
      <c r="D56" s="171"/>
      <c r="E56" s="365">
        <f t="shared" si="48"/>
        <v>74.010000000000005</v>
      </c>
      <c r="F56" s="365">
        <f t="shared" si="49"/>
        <v>1.08</v>
      </c>
      <c r="G56" s="365">
        <f t="shared" si="36"/>
        <v>75.09</v>
      </c>
      <c r="H56" s="365">
        <f t="shared" si="50"/>
        <v>9.06</v>
      </c>
      <c r="I56" s="365">
        <f t="shared" si="47"/>
        <v>149.1</v>
      </c>
      <c r="J56" s="366">
        <f t="shared" si="37"/>
        <v>1350.846</v>
      </c>
      <c r="K56" s="377" t="s">
        <v>388</v>
      </c>
      <c r="L56" s="378" t="s">
        <v>309</v>
      </c>
      <c r="M56" s="365">
        <v>6000</v>
      </c>
      <c r="N56" s="379">
        <f t="shared" si="51"/>
        <v>994</v>
      </c>
      <c r="O56" s="369">
        <f t="shared" si="38"/>
        <v>81990.306000000011</v>
      </c>
      <c r="P56" s="370">
        <f t="shared" si="39"/>
        <v>1091.8938074310829</v>
      </c>
      <c r="Q56" s="172">
        <v>0.01</v>
      </c>
      <c r="R56" s="371">
        <f t="shared" si="40"/>
        <v>819.9030600000001</v>
      </c>
      <c r="S56" s="172">
        <v>0.04</v>
      </c>
      <c r="T56" s="371">
        <f t="shared" si="41"/>
        <v>3279.6122400000004</v>
      </c>
      <c r="U56" s="372">
        <f t="shared" si="42"/>
        <v>5</v>
      </c>
      <c r="V56" s="172">
        <v>0.95</v>
      </c>
      <c r="W56" s="371">
        <f t="shared" si="43"/>
        <v>77890.790700000012</v>
      </c>
      <c r="X56" s="373"/>
      <c r="Y56" s="365"/>
      <c r="Z56" s="365"/>
      <c r="AA56" s="373"/>
      <c r="AB56" s="373">
        <f>+$R56</f>
        <v>819.9030600000001</v>
      </c>
      <c r="AC56" s="373">
        <f>+$T56/5</f>
        <v>655.92244800000003</v>
      </c>
      <c r="AD56" s="373">
        <f>+AC56</f>
        <v>655.92244800000003</v>
      </c>
      <c r="AE56" s="373">
        <f>+AD56</f>
        <v>655.92244800000003</v>
      </c>
      <c r="AF56" s="373">
        <f>+AE56</f>
        <v>655.92244800000003</v>
      </c>
      <c r="AG56" s="373">
        <f>+AF56</f>
        <v>655.92244800000003</v>
      </c>
      <c r="AH56" s="373">
        <f>+$W56</f>
        <v>77890.790700000012</v>
      </c>
      <c r="AI56" s="373">
        <v>0</v>
      </c>
      <c r="AJ56" s="373">
        <v>0</v>
      </c>
      <c r="AK56" s="373">
        <v>0</v>
      </c>
      <c r="AL56" s="373">
        <v>0</v>
      </c>
      <c r="AM56" s="373">
        <v>0</v>
      </c>
      <c r="AN56" s="373">
        <v>0</v>
      </c>
      <c r="AO56" s="373">
        <v>0</v>
      </c>
      <c r="AP56" s="373">
        <v>0</v>
      </c>
      <c r="AQ56" s="373">
        <v>0</v>
      </c>
      <c r="AR56" s="373">
        <v>0</v>
      </c>
      <c r="AS56" s="373">
        <v>0</v>
      </c>
      <c r="AT56" s="373">
        <v>0</v>
      </c>
      <c r="AU56" s="373">
        <v>0</v>
      </c>
      <c r="AV56" s="373">
        <v>0</v>
      </c>
      <c r="AW56" s="373">
        <v>0</v>
      </c>
      <c r="AX56" s="373">
        <v>0</v>
      </c>
      <c r="AY56" s="373">
        <v>0</v>
      </c>
      <c r="AZ56" s="373">
        <v>0</v>
      </c>
      <c r="BA56" s="373">
        <v>0</v>
      </c>
      <c r="BB56" s="373">
        <v>0</v>
      </c>
      <c r="BC56" s="373">
        <v>0</v>
      </c>
      <c r="BD56" s="373">
        <v>0</v>
      </c>
      <c r="BE56" s="373">
        <v>0</v>
      </c>
      <c r="BF56" s="373">
        <v>0</v>
      </c>
      <c r="BG56" s="373">
        <v>0</v>
      </c>
      <c r="BH56" s="373">
        <v>0</v>
      </c>
      <c r="BI56" s="373">
        <v>0</v>
      </c>
      <c r="BJ56" s="373">
        <v>0</v>
      </c>
      <c r="BK56" s="373">
        <v>0</v>
      </c>
      <c r="BL56" s="373">
        <v>0</v>
      </c>
      <c r="BM56" s="373">
        <v>0</v>
      </c>
      <c r="BN56" s="373">
        <v>0</v>
      </c>
      <c r="BO56" s="373">
        <v>0</v>
      </c>
      <c r="BP56" s="373">
        <v>0</v>
      </c>
      <c r="BQ56" s="373">
        <v>0</v>
      </c>
      <c r="BR56" s="373">
        <v>0</v>
      </c>
      <c r="BS56" s="373">
        <v>0</v>
      </c>
      <c r="BT56" s="373">
        <v>0</v>
      </c>
      <c r="BU56" s="373">
        <v>0</v>
      </c>
      <c r="BV56" s="373">
        <v>0</v>
      </c>
      <c r="BW56" s="373">
        <v>0</v>
      </c>
      <c r="BX56" s="373">
        <v>0</v>
      </c>
      <c r="BY56" s="373">
        <v>0</v>
      </c>
      <c r="BZ56" s="373">
        <v>0</v>
      </c>
      <c r="CA56" s="373">
        <v>0</v>
      </c>
      <c r="CB56" s="373">
        <v>0</v>
      </c>
      <c r="CC56" s="373">
        <v>0</v>
      </c>
      <c r="CD56" s="373">
        <v>0</v>
      </c>
      <c r="CE56" s="373">
        <v>0</v>
      </c>
      <c r="CF56" s="373">
        <v>0</v>
      </c>
      <c r="CG56" s="373">
        <v>0</v>
      </c>
      <c r="CH56" s="373">
        <v>0</v>
      </c>
      <c r="CI56" s="373">
        <v>0</v>
      </c>
      <c r="CJ56" s="373">
        <v>0</v>
      </c>
      <c r="CK56" s="373">
        <v>0</v>
      </c>
      <c r="CL56" s="373">
        <v>0</v>
      </c>
      <c r="CM56" s="373">
        <v>0</v>
      </c>
      <c r="CN56" s="373">
        <v>0</v>
      </c>
      <c r="CO56" s="373">
        <v>0</v>
      </c>
      <c r="CP56" s="373">
        <v>0</v>
      </c>
      <c r="CQ56" s="373">
        <v>0</v>
      </c>
      <c r="CR56" s="373">
        <v>0</v>
      </c>
      <c r="CS56" s="373">
        <v>0</v>
      </c>
      <c r="CT56" s="373">
        <v>0</v>
      </c>
      <c r="CU56" s="373">
        <v>0</v>
      </c>
      <c r="CV56" s="373">
        <v>0</v>
      </c>
      <c r="CW56" s="373">
        <v>0</v>
      </c>
      <c r="CX56" s="373">
        <v>0</v>
      </c>
      <c r="CY56" s="373">
        <v>0</v>
      </c>
      <c r="CZ56" s="373">
        <v>0</v>
      </c>
      <c r="DA56" s="373">
        <v>0</v>
      </c>
      <c r="DB56" s="373">
        <v>0</v>
      </c>
      <c r="DC56" s="373">
        <v>0</v>
      </c>
      <c r="DD56" s="373">
        <v>0</v>
      </c>
      <c r="DE56" s="373">
        <v>0</v>
      </c>
      <c r="DF56" s="373">
        <v>0</v>
      </c>
      <c r="DG56" s="373">
        <v>0</v>
      </c>
      <c r="DH56" s="373">
        <v>0</v>
      </c>
      <c r="DI56" s="373">
        <v>0</v>
      </c>
      <c r="DJ56" s="373">
        <v>0</v>
      </c>
      <c r="DK56" s="373">
        <v>0</v>
      </c>
      <c r="DL56" s="373">
        <v>0</v>
      </c>
      <c r="DM56" s="373">
        <v>0</v>
      </c>
      <c r="DN56" s="373">
        <v>0</v>
      </c>
      <c r="DO56" s="373">
        <v>0</v>
      </c>
      <c r="DP56" s="373">
        <v>0</v>
      </c>
      <c r="DQ56" s="373">
        <v>0</v>
      </c>
      <c r="DR56" s="373">
        <v>0</v>
      </c>
      <c r="DS56" s="365">
        <v>0</v>
      </c>
      <c r="DT56" s="374">
        <f t="shared" si="44"/>
        <v>81990.306000000011</v>
      </c>
      <c r="DU56" s="375">
        <f t="shared" si="45"/>
        <v>0</v>
      </c>
      <c r="DV56" s="376"/>
      <c r="DW56" s="138" t="b">
        <f t="shared" si="46"/>
        <v>1</v>
      </c>
    </row>
    <row r="57" spans="1:127" s="138" customFormat="1" ht="12" customHeight="1">
      <c r="A57" s="169" t="s">
        <v>389</v>
      </c>
      <c r="B57" s="170"/>
      <c r="C57" s="171" t="s">
        <v>280</v>
      </c>
      <c r="D57" s="171"/>
      <c r="E57" s="365">
        <f t="shared" si="48"/>
        <v>74.010000000000005</v>
      </c>
      <c r="F57" s="365">
        <f t="shared" si="49"/>
        <v>1.08</v>
      </c>
      <c r="G57" s="365">
        <f t="shared" si="36"/>
        <v>75.09</v>
      </c>
      <c r="H57" s="365">
        <f t="shared" si="50"/>
        <v>9.06</v>
      </c>
      <c r="I57" s="365">
        <f t="shared" si="47"/>
        <v>149.1</v>
      </c>
      <c r="J57" s="366">
        <f t="shared" si="37"/>
        <v>1350.846</v>
      </c>
      <c r="K57" s="377" t="s">
        <v>390</v>
      </c>
      <c r="L57" s="378" t="s">
        <v>309</v>
      </c>
      <c r="M57" s="365">
        <v>6000</v>
      </c>
      <c r="N57" s="379">
        <f t="shared" si="51"/>
        <v>994</v>
      </c>
      <c r="O57" s="369">
        <f t="shared" si="38"/>
        <v>81990.306000000011</v>
      </c>
      <c r="P57" s="370">
        <f t="shared" si="39"/>
        <v>1091.8938074310829</v>
      </c>
      <c r="Q57" s="172">
        <v>0.01</v>
      </c>
      <c r="R57" s="371">
        <f t="shared" si="40"/>
        <v>819.9030600000001</v>
      </c>
      <c r="S57" s="172">
        <v>0.04</v>
      </c>
      <c r="T57" s="371">
        <f t="shared" si="41"/>
        <v>3279.6122400000004</v>
      </c>
      <c r="U57" s="372">
        <f t="shared" si="42"/>
        <v>3</v>
      </c>
      <c r="V57" s="172">
        <v>0.95</v>
      </c>
      <c r="W57" s="371">
        <f t="shared" si="43"/>
        <v>77890.790700000012</v>
      </c>
      <c r="X57" s="373"/>
      <c r="Y57" s="373"/>
      <c r="Z57" s="373"/>
      <c r="AA57" s="373"/>
      <c r="AB57" s="373">
        <f>+$R57</f>
        <v>819.9030600000001</v>
      </c>
      <c r="AC57" s="373">
        <f>+$T57/3</f>
        <v>1093.2040800000002</v>
      </c>
      <c r="AD57" s="373">
        <f>+AC57</f>
        <v>1093.2040800000002</v>
      </c>
      <c r="AE57" s="373">
        <f>+AD57</f>
        <v>1093.2040800000002</v>
      </c>
      <c r="AF57" s="373">
        <f>+$W57</f>
        <v>77890.790700000012</v>
      </c>
      <c r="AG57" s="373">
        <v>0</v>
      </c>
      <c r="AH57" s="373">
        <v>0</v>
      </c>
      <c r="AI57" s="373">
        <v>0</v>
      </c>
      <c r="AJ57" s="373">
        <v>0</v>
      </c>
      <c r="AK57" s="373">
        <v>0</v>
      </c>
      <c r="AL57" s="373">
        <v>0</v>
      </c>
      <c r="AM57" s="373">
        <v>0</v>
      </c>
      <c r="AN57" s="373">
        <v>0</v>
      </c>
      <c r="AO57" s="373">
        <v>0</v>
      </c>
      <c r="AP57" s="373">
        <v>0</v>
      </c>
      <c r="AQ57" s="373">
        <v>0</v>
      </c>
      <c r="AR57" s="373">
        <v>0</v>
      </c>
      <c r="AS57" s="373">
        <v>0</v>
      </c>
      <c r="AT57" s="373">
        <v>0</v>
      </c>
      <c r="AU57" s="373">
        <v>0</v>
      </c>
      <c r="AV57" s="373">
        <v>0</v>
      </c>
      <c r="AW57" s="373">
        <v>0</v>
      </c>
      <c r="AX57" s="373">
        <v>0</v>
      </c>
      <c r="AY57" s="373">
        <v>0</v>
      </c>
      <c r="AZ57" s="373">
        <v>0</v>
      </c>
      <c r="BA57" s="373">
        <v>0</v>
      </c>
      <c r="BB57" s="373">
        <v>0</v>
      </c>
      <c r="BC57" s="373">
        <v>0</v>
      </c>
      <c r="BD57" s="373">
        <v>0</v>
      </c>
      <c r="BE57" s="373">
        <v>0</v>
      </c>
      <c r="BF57" s="373">
        <v>0</v>
      </c>
      <c r="BG57" s="373">
        <v>0</v>
      </c>
      <c r="BH57" s="373">
        <v>0</v>
      </c>
      <c r="BI57" s="373">
        <v>0</v>
      </c>
      <c r="BJ57" s="373">
        <v>0</v>
      </c>
      <c r="BK57" s="373">
        <v>0</v>
      </c>
      <c r="BL57" s="373">
        <v>0</v>
      </c>
      <c r="BM57" s="373">
        <v>0</v>
      </c>
      <c r="BN57" s="373">
        <v>0</v>
      </c>
      <c r="BO57" s="373">
        <v>0</v>
      </c>
      <c r="BP57" s="373">
        <v>0</v>
      </c>
      <c r="BQ57" s="373">
        <v>0</v>
      </c>
      <c r="BR57" s="373">
        <v>0</v>
      </c>
      <c r="BS57" s="373">
        <v>0</v>
      </c>
      <c r="BT57" s="373">
        <v>0</v>
      </c>
      <c r="BU57" s="373">
        <v>0</v>
      </c>
      <c r="BV57" s="373">
        <v>0</v>
      </c>
      <c r="BW57" s="373">
        <v>0</v>
      </c>
      <c r="BX57" s="373">
        <v>0</v>
      </c>
      <c r="BY57" s="373">
        <v>0</v>
      </c>
      <c r="BZ57" s="373">
        <v>0</v>
      </c>
      <c r="CA57" s="373">
        <v>0</v>
      </c>
      <c r="CB57" s="373">
        <v>0</v>
      </c>
      <c r="CC57" s="373">
        <v>0</v>
      </c>
      <c r="CD57" s="373">
        <v>0</v>
      </c>
      <c r="CE57" s="373">
        <v>0</v>
      </c>
      <c r="CF57" s="373">
        <v>0</v>
      </c>
      <c r="CG57" s="373">
        <v>0</v>
      </c>
      <c r="CH57" s="373">
        <v>0</v>
      </c>
      <c r="CI57" s="373">
        <v>0</v>
      </c>
      <c r="CJ57" s="373">
        <v>0</v>
      </c>
      <c r="CK57" s="373">
        <v>0</v>
      </c>
      <c r="CL57" s="373">
        <v>0</v>
      </c>
      <c r="CM57" s="373">
        <v>0</v>
      </c>
      <c r="CN57" s="373">
        <v>0</v>
      </c>
      <c r="CO57" s="373">
        <v>0</v>
      </c>
      <c r="CP57" s="373">
        <v>0</v>
      </c>
      <c r="CQ57" s="373">
        <v>0</v>
      </c>
      <c r="CR57" s="373">
        <v>0</v>
      </c>
      <c r="CS57" s="373">
        <v>0</v>
      </c>
      <c r="CT57" s="373">
        <v>0</v>
      </c>
      <c r="CU57" s="373">
        <v>0</v>
      </c>
      <c r="CV57" s="373">
        <v>0</v>
      </c>
      <c r="CW57" s="373">
        <v>0</v>
      </c>
      <c r="CX57" s="373">
        <v>0</v>
      </c>
      <c r="CY57" s="373">
        <v>0</v>
      </c>
      <c r="CZ57" s="373">
        <v>0</v>
      </c>
      <c r="DA57" s="373">
        <v>0</v>
      </c>
      <c r="DB57" s="373">
        <v>0</v>
      </c>
      <c r="DC57" s="373">
        <v>0</v>
      </c>
      <c r="DD57" s="373">
        <v>0</v>
      </c>
      <c r="DE57" s="373">
        <v>0</v>
      </c>
      <c r="DF57" s="373">
        <v>0</v>
      </c>
      <c r="DG57" s="373">
        <v>0</v>
      </c>
      <c r="DH57" s="373">
        <v>0</v>
      </c>
      <c r="DI57" s="373">
        <v>0</v>
      </c>
      <c r="DJ57" s="373">
        <v>0</v>
      </c>
      <c r="DK57" s="373">
        <v>0</v>
      </c>
      <c r="DL57" s="373">
        <v>0</v>
      </c>
      <c r="DM57" s="373">
        <v>0</v>
      </c>
      <c r="DN57" s="373">
        <v>0</v>
      </c>
      <c r="DO57" s="373">
        <v>0</v>
      </c>
      <c r="DP57" s="373">
        <v>0</v>
      </c>
      <c r="DQ57" s="373">
        <v>0</v>
      </c>
      <c r="DR57" s="373">
        <v>0</v>
      </c>
      <c r="DS57" s="365">
        <v>0</v>
      </c>
      <c r="DT57" s="374">
        <f t="shared" si="44"/>
        <v>81990.306000000011</v>
      </c>
      <c r="DU57" s="375">
        <f t="shared" si="45"/>
        <v>0</v>
      </c>
      <c r="DV57" s="376"/>
      <c r="DW57" s="138" t="b">
        <f t="shared" si="46"/>
        <v>1</v>
      </c>
    </row>
    <row r="58" spans="1:127" s="138" customFormat="1" ht="12" customHeight="1">
      <c r="A58" s="169" t="s">
        <v>391</v>
      </c>
      <c r="B58" s="170"/>
      <c r="C58" s="171" t="s">
        <v>280</v>
      </c>
      <c r="D58" s="171"/>
      <c r="E58" s="365">
        <f t="shared" si="48"/>
        <v>74.010000000000005</v>
      </c>
      <c r="F58" s="365">
        <f t="shared" si="49"/>
        <v>1.08</v>
      </c>
      <c r="G58" s="365">
        <f t="shared" si="36"/>
        <v>75.09</v>
      </c>
      <c r="H58" s="365">
        <f t="shared" si="50"/>
        <v>9.06</v>
      </c>
      <c r="I58" s="365">
        <f t="shared" si="47"/>
        <v>149.1</v>
      </c>
      <c r="J58" s="366">
        <f t="shared" si="37"/>
        <v>1350.846</v>
      </c>
      <c r="K58" s="377" t="s">
        <v>392</v>
      </c>
      <c r="L58" s="378" t="s">
        <v>309</v>
      </c>
      <c r="M58" s="365">
        <v>6000</v>
      </c>
      <c r="N58" s="379">
        <f t="shared" si="51"/>
        <v>994</v>
      </c>
      <c r="O58" s="369">
        <f t="shared" si="38"/>
        <v>81990.306000000011</v>
      </c>
      <c r="P58" s="370">
        <f t="shared" si="39"/>
        <v>1091.8938074310829</v>
      </c>
      <c r="Q58" s="172">
        <v>0.01</v>
      </c>
      <c r="R58" s="371">
        <f t="shared" si="40"/>
        <v>819.9030600000001</v>
      </c>
      <c r="S58" s="172">
        <v>0.04</v>
      </c>
      <c r="T58" s="371">
        <f t="shared" si="41"/>
        <v>3279.6122400000004</v>
      </c>
      <c r="U58" s="372">
        <f t="shared" si="42"/>
        <v>5</v>
      </c>
      <c r="V58" s="172">
        <v>0.95</v>
      </c>
      <c r="W58" s="371">
        <f t="shared" si="43"/>
        <v>77890.790700000012</v>
      </c>
      <c r="X58" s="373"/>
      <c r="Y58" s="373"/>
      <c r="Z58" s="373"/>
      <c r="AA58" s="373"/>
      <c r="AB58" s="373"/>
      <c r="AC58" s="373">
        <f>+$R58</f>
        <v>819.9030600000001</v>
      </c>
      <c r="AD58" s="373">
        <f>+$T58/5</f>
        <v>655.92244800000003</v>
      </c>
      <c r="AE58" s="373">
        <f>+AD58</f>
        <v>655.92244800000003</v>
      </c>
      <c r="AF58" s="373">
        <f>+AE58</f>
        <v>655.92244800000003</v>
      </c>
      <c r="AG58" s="373">
        <f>+AF58</f>
        <v>655.92244800000003</v>
      </c>
      <c r="AH58" s="373">
        <f>+AG58</f>
        <v>655.92244800000003</v>
      </c>
      <c r="AI58" s="373">
        <f>+$W58</f>
        <v>77890.790700000012</v>
      </c>
      <c r="AJ58" s="373">
        <v>0</v>
      </c>
      <c r="AK58" s="373">
        <v>0</v>
      </c>
      <c r="AL58" s="373">
        <v>0</v>
      </c>
      <c r="AM58" s="373">
        <v>0</v>
      </c>
      <c r="AN58" s="373">
        <v>0</v>
      </c>
      <c r="AO58" s="373">
        <v>0</v>
      </c>
      <c r="AP58" s="373">
        <v>0</v>
      </c>
      <c r="AQ58" s="373">
        <v>0</v>
      </c>
      <c r="AR58" s="373">
        <v>0</v>
      </c>
      <c r="AS58" s="373">
        <v>0</v>
      </c>
      <c r="AT58" s="373">
        <v>0</v>
      </c>
      <c r="AU58" s="373">
        <v>0</v>
      </c>
      <c r="AV58" s="373">
        <v>0</v>
      </c>
      <c r="AW58" s="373">
        <v>0</v>
      </c>
      <c r="AX58" s="373">
        <v>0</v>
      </c>
      <c r="AY58" s="373">
        <v>0</v>
      </c>
      <c r="AZ58" s="373">
        <v>0</v>
      </c>
      <c r="BA58" s="373">
        <v>0</v>
      </c>
      <c r="BB58" s="373">
        <v>0</v>
      </c>
      <c r="BC58" s="373">
        <v>0</v>
      </c>
      <c r="BD58" s="373">
        <v>0</v>
      </c>
      <c r="BE58" s="373">
        <v>0</v>
      </c>
      <c r="BF58" s="373">
        <v>0</v>
      </c>
      <c r="BG58" s="373">
        <v>0</v>
      </c>
      <c r="BH58" s="373">
        <v>0</v>
      </c>
      <c r="BI58" s="373">
        <v>0</v>
      </c>
      <c r="BJ58" s="373">
        <v>0</v>
      </c>
      <c r="BK58" s="373">
        <v>0</v>
      </c>
      <c r="BL58" s="373">
        <v>0</v>
      </c>
      <c r="BM58" s="373">
        <v>0</v>
      </c>
      <c r="BN58" s="373">
        <v>0</v>
      </c>
      <c r="BO58" s="373">
        <v>0</v>
      </c>
      <c r="BP58" s="373">
        <v>0</v>
      </c>
      <c r="BQ58" s="373">
        <v>0</v>
      </c>
      <c r="BR58" s="373">
        <v>0</v>
      </c>
      <c r="BS58" s="373">
        <v>0</v>
      </c>
      <c r="BT58" s="373">
        <v>0</v>
      </c>
      <c r="BU58" s="373">
        <v>0</v>
      </c>
      <c r="BV58" s="373">
        <v>0</v>
      </c>
      <c r="BW58" s="373">
        <v>0</v>
      </c>
      <c r="BX58" s="373">
        <v>0</v>
      </c>
      <c r="BY58" s="373">
        <v>0</v>
      </c>
      <c r="BZ58" s="373">
        <v>0</v>
      </c>
      <c r="CA58" s="373">
        <v>0</v>
      </c>
      <c r="CB58" s="373">
        <v>0</v>
      </c>
      <c r="CC58" s="373">
        <v>0</v>
      </c>
      <c r="CD58" s="373">
        <v>0</v>
      </c>
      <c r="CE58" s="373">
        <v>0</v>
      </c>
      <c r="CF58" s="373">
        <v>0</v>
      </c>
      <c r="CG58" s="373">
        <v>0</v>
      </c>
      <c r="CH58" s="373">
        <v>0</v>
      </c>
      <c r="CI58" s="373">
        <v>0</v>
      </c>
      <c r="CJ58" s="373">
        <v>0</v>
      </c>
      <c r="CK58" s="373">
        <v>0</v>
      </c>
      <c r="CL58" s="373">
        <v>0</v>
      </c>
      <c r="CM58" s="373">
        <v>0</v>
      </c>
      <c r="CN58" s="373">
        <v>0</v>
      </c>
      <c r="CO58" s="373">
        <v>0</v>
      </c>
      <c r="CP58" s="373">
        <v>0</v>
      </c>
      <c r="CQ58" s="373">
        <v>0</v>
      </c>
      <c r="CR58" s="373">
        <v>0</v>
      </c>
      <c r="CS58" s="373">
        <v>0</v>
      </c>
      <c r="CT58" s="373">
        <v>0</v>
      </c>
      <c r="CU58" s="373">
        <v>0</v>
      </c>
      <c r="CV58" s="373">
        <v>0</v>
      </c>
      <c r="CW58" s="373">
        <v>0</v>
      </c>
      <c r="CX58" s="373">
        <v>0</v>
      </c>
      <c r="CY58" s="373">
        <v>0</v>
      </c>
      <c r="CZ58" s="373">
        <v>0</v>
      </c>
      <c r="DA58" s="373">
        <v>0</v>
      </c>
      <c r="DB58" s="373">
        <v>0</v>
      </c>
      <c r="DC58" s="373">
        <v>0</v>
      </c>
      <c r="DD58" s="373">
        <v>0</v>
      </c>
      <c r="DE58" s="373">
        <v>0</v>
      </c>
      <c r="DF58" s="373">
        <v>0</v>
      </c>
      <c r="DG58" s="373">
        <v>0</v>
      </c>
      <c r="DH58" s="373">
        <v>0</v>
      </c>
      <c r="DI58" s="373">
        <v>0</v>
      </c>
      <c r="DJ58" s="373">
        <v>0</v>
      </c>
      <c r="DK58" s="373">
        <v>0</v>
      </c>
      <c r="DL58" s="373">
        <v>0</v>
      </c>
      <c r="DM58" s="373">
        <v>0</v>
      </c>
      <c r="DN58" s="373">
        <v>0</v>
      </c>
      <c r="DO58" s="373">
        <v>0</v>
      </c>
      <c r="DP58" s="373">
        <v>0</v>
      </c>
      <c r="DQ58" s="373">
        <v>0</v>
      </c>
      <c r="DR58" s="373">
        <v>0</v>
      </c>
      <c r="DS58" s="365">
        <v>0</v>
      </c>
      <c r="DT58" s="374">
        <f t="shared" si="44"/>
        <v>81990.306000000011</v>
      </c>
      <c r="DU58" s="375">
        <f t="shared" si="45"/>
        <v>0</v>
      </c>
      <c r="DV58" s="376"/>
      <c r="DW58" s="138" t="b">
        <f t="shared" si="46"/>
        <v>1</v>
      </c>
    </row>
    <row r="59" spans="1:127" s="138" customFormat="1" ht="12" customHeight="1">
      <c r="A59" s="169" t="s">
        <v>393</v>
      </c>
      <c r="B59" s="170"/>
      <c r="C59" s="171" t="s">
        <v>280</v>
      </c>
      <c r="D59" s="171"/>
      <c r="E59" s="365">
        <f t="shared" si="48"/>
        <v>74.010000000000005</v>
      </c>
      <c r="F59" s="365">
        <f t="shared" si="49"/>
        <v>1.08</v>
      </c>
      <c r="G59" s="365">
        <f t="shared" si="36"/>
        <v>75.09</v>
      </c>
      <c r="H59" s="365">
        <f t="shared" si="50"/>
        <v>9.06</v>
      </c>
      <c r="I59" s="365">
        <f t="shared" si="47"/>
        <v>149.1</v>
      </c>
      <c r="J59" s="366">
        <f t="shared" si="37"/>
        <v>1350.846</v>
      </c>
      <c r="K59" s="377" t="s">
        <v>394</v>
      </c>
      <c r="L59" s="378" t="s">
        <v>309</v>
      </c>
      <c r="M59" s="365">
        <v>6000</v>
      </c>
      <c r="N59" s="379">
        <f t="shared" si="51"/>
        <v>994</v>
      </c>
      <c r="O59" s="369">
        <f t="shared" si="38"/>
        <v>81990.306000000011</v>
      </c>
      <c r="P59" s="370">
        <f t="shared" si="39"/>
        <v>1091.8938074310829</v>
      </c>
      <c r="Q59" s="172">
        <v>0.01</v>
      </c>
      <c r="R59" s="371">
        <f t="shared" si="40"/>
        <v>819.9030600000001</v>
      </c>
      <c r="S59" s="172">
        <v>0.04</v>
      </c>
      <c r="T59" s="371">
        <f t="shared" si="41"/>
        <v>3279.6122400000004</v>
      </c>
      <c r="U59" s="372">
        <f t="shared" si="42"/>
        <v>3</v>
      </c>
      <c r="V59" s="172">
        <v>0.95</v>
      </c>
      <c r="W59" s="371">
        <f t="shared" si="43"/>
        <v>77890.790700000012</v>
      </c>
      <c r="X59" s="373"/>
      <c r="Y59" s="373"/>
      <c r="Z59" s="373"/>
      <c r="AA59" s="365"/>
      <c r="AB59" s="365"/>
      <c r="AC59" s="373">
        <f>+$R59</f>
        <v>819.9030600000001</v>
      </c>
      <c r="AD59" s="373">
        <f>+$T59/3</f>
        <v>1093.2040800000002</v>
      </c>
      <c r="AE59" s="373">
        <f>+AD59</f>
        <v>1093.2040800000002</v>
      </c>
      <c r="AF59" s="373">
        <f>+AE59</f>
        <v>1093.2040800000002</v>
      </c>
      <c r="AG59" s="373">
        <f>+$W59</f>
        <v>77890.790700000012</v>
      </c>
      <c r="AH59" s="373">
        <v>0</v>
      </c>
      <c r="AI59" s="373">
        <v>0</v>
      </c>
      <c r="AJ59" s="373">
        <v>0</v>
      </c>
      <c r="AK59" s="373">
        <v>0</v>
      </c>
      <c r="AL59" s="373">
        <v>0</v>
      </c>
      <c r="AM59" s="373">
        <v>0</v>
      </c>
      <c r="AN59" s="373">
        <v>0</v>
      </c>
      <c r="AO59" s="373">
        <v>0</v>
      </c>
      <c r="AP59" s="373">
        <v>0</v>
      </c>
      <c r="AQ59" s="373">
        <v>0</v>
      </c>
      <c r="AR59" s="373">
        <v>0</v>
      </c>
      <c r="AS59" s="373">
        <v>0</v>
      </c>
      <c r="AT59" s="373">
        <v>0</v>
      </c>
      <c r="AU59" s="373">
        <v>0</v>
      </c>
      <c r="AV59" s="373">
        <v>0</v>
      </c>
      <c r="AW59" s="373">
        <v>0</v>
      </c>
      <c r="AX59" s="373">
        <v>0</v>
      </c>
      <c r="AY59" s="373">
        <v>0</v>
      </c>
      <c r="AZ59" s="373">
        <v>0</v>
      </c>
      <c r="BA59" s="373">
        <v>0</v>
      </c>
      <c r="BB59" s="373">
        <v>0</v>
      </c>
      <c r="BC59" s="373">
        <v>0</v>
      </c>
      <c r="BD59" s="373">
        <v>0</v>
      </c>
      <c r="BE59" s="373">
        <v>0</v>
      </c>
      <c r="BF59" s="373">
        <v>0</v>
      </c>
      <c r="BG59" s="373">
        <v>0</v>
      </c>
      <c r="BH59" s="373">
        <v>0</v>
      </c>
      <c r="BI59" s="373">
        <v>0</v>
      </c>
      <c r="BJ59" s="373">
        <v>0</v>
      </c>
      <c r="BK59" s="373">
        <v>0</v>
      </c>
      <c r="BL59" s="373">
        <v>0</v>
      </c>
      <c r="BM59" s="373">
        <v>0</v>
      </c>
      <c r="BN59" s="373">
        <v>0</v>
      </c>
      <c r="BO59" s="373">
        <v>0</v>
      </c>
      <c r="BP59" s="373">
        <v>0</v>
      </c>
      <c r="BQ59" s="373">
        <v>0</v>
      </c>
      <c r="BR59" s="373">
        <v>0</v>
      </c>
      <c r="BS59" s="373">
        <v>0</v>
      </c>
      <c r="BT59" s="373">
        <v>0</v>
      </c>
      <c r="BU59" s="373">
        <v>0</v>
      </c>
      <c r="BV59" s="373">
        <v>0</v>
      </c>
      <c r="BW59" s="373">
        <v>0</v>
      </c>
      <c r="BX59" s="373">
        <v>0</v>
      </c>
      <c r="BY59" s="373">
        <v>0</v>
      </c>
      <c r="BZ59" s="373">
        <v>0</v>
      </c>
      <c r="CA59" s="373">
        <v>0</v>
      </c>
      <c r="CB59" s="373">
        <v>0</v>
      </c>
      <c r="CC59" s="373">
        <v>0</v>
      </c>
      <c r="CD59" s="373">
        <v>0</v>
      </c>
      <c r="CE59" s="373">
        <v>0</v>
      </c>
      <c r="CF59" s="373">
        <v>0</v>
      </c>
      <c r="CG59" s="373">
        <v>0</v>
      </c>
      <c r="CH59" s="373">
        <v>0</v>
      </c>
      <c r="CI59" s="373">
        <v>0</v>
      </c>
      <c r="CJ59" s="373">
        <v>0</v>
      </c>
      <c r="CK59" s="373">
        <v>0</v>
      </c>
      <c r="CL59" s="373">
        <v>0</v>
      </c>
      <c r="CM59" s="373">
        <v>0</v>
      </c>
      <c r="CN59" s="373">
        <v>0</v>
      </c>
      <c r="CO59" s="373">
        <v>0</v>
      </c>
      <c r="CP59" s="373">
        <v>0</v>
      </c>
      <c r="CQ59" s="373">
        <v>0</v>
      </c>
      <c r="CR59" s="373">
        <v>0</v>
      </c>
      <c r="CS59" s="373">
        <v>0</v>
      </c>
      <c r="CT59" s="373">
        <v>0</v>
      </c>
      <c r="CU59" s="373">
        <v>0</v>
      </c>
      <c r="CV59" s="373">
        <v>0</v>
      </c>
      <c r="CW59" s="373">
        <v>0</v>
      </c>
      <c r="CX59" s="373">
        <v>0</v>
      </c>
      <c r="CY59" s="373">
        <v>0</v>
      </c>
      <c r="CZ59" s="373">
        <v>0</v>
      </c>
      <c r="DA59" s="373">
        <v>0</v>
      </c>
      <c r="DB59" s="373">
        <v>0</v>
      </c>
      <c r="DC59" s="373">
        <v>0</v>
      </c>
      <c r="DD59" s="373">
        <v>0</v>
      </c>
      <c r="DE59" s="373">
        <v>0</v>
      </c>
      <c r="DF59" s="373">
        <v>0</v>
      </c>
      <c r="DG59" s="373">
        <v>0</v>
      </c>
      <c r="DH59" s="373">
        <v>0</v>
      </c>
      <c r="DI59" s="373">
        <v>0</v>
      </c>
      <c r="DJ59" s="373">
        <v>0</v>
      </c>
      <c r="DK59" s="373">
        <v>0</v>
      </c>
      <c r="DL59" s="373">
        <v>0</v>
      </c>
      <c r="DM59" s="373">
        <v>0</v>
      </c>
      <c r="DN59" s="373">
        <v>0</v>
      </c>
      <c r="DO59" s="373">
        <v>0</v>
      </c>
      <c r="DP59" s="373">
        <v>0</v>
      </c>
      <c r="DQ59" s="373">
        <v>0</v>
      </c>
      <c r="DR59" s="373">
        <v>0</v>
      </c>
      <c r="DS59" s="365">
        <v>0</v>
      </c>
      <c r="DT59" s="374">
        <f t="shared" si="44"/>
        <v>81990.306000000011</v>
      </c>
      <c r="DU59" s="375">
        <f t="shared" si="45"/>
        <v>0</v>
      </c>
      <c r="DV59" s="376"/>
      <c r="DW59" s="138" t="b">
        <f t="shared" si="46"/>
        <v>1</v>
      </c>
    </row>
    <row r="60" spans="1:127" s="138" customFormat="1" ht="12" customHeight="1">
      <c r="A60" s="173" t="s">
        <v>395</v>
      </c>
      <c r="B60" s="170"/>
      <c r="C60" s="171" t="s">
        <v>280</v>
      </c>
      <c r="D60" s="171"/>
      <c r="E60" s="365">
        <f t="shared" si="48"/>
        <v>74.010000000000005</v>
      </c>
      <c r="F60" s="365">
        <f t="shared" si="49"/>
        <v>1.08</v>
      </c>
      <c r="G60" s="365">
        <f t="shared" si="36"/>
        <v>75.09</v>
      </c>
      <c r="H60" s="365">
        <f t="shared" si="50"/>
        <v>9.06</v>
      </c>
      <c r="I60" s="365">
        <f t="shared" si="47"/>
        <v>149.1</v>
      </c>
      <c r="J60" s="366">
        <f t="shared" si="37"/>
        <v>1350.846</v>
      </c>
      <c r="K60" s="380" t="s">
        <v>396</v>
      </c>
      <c r="L60" s="378" t="s">
        <v>320</v>
      </c>
      <c r="M60" s="365">
        <v>7000</v>
      </c>
      <c r="N60" s="379">
        <f t="shared" si="51"/>
        <v>994</v>
      </c>
      <c r="O60" s="381">
        <f t="shared" si="38"/>
        <v>82990.306000000011</v>
      </c>
      <c r="P60" s="370">
        <f t="shared" si="39"/>
        <v>1105.2111599414038</v>
      </c>
      <c r="Q60" s="172">
        <v>0.01</v>
      </c>
      <c r="R60" s="371">
        <f t="shared" si="40"/>
        <v>829.9030600000001</v>
      </c>
      <c r="S60" s="172">
        <v>0.04</v>
      </c>
      <c r="T60" s="371">
        <f t="shared" si="41"/>
        <v>3319.6122400000004</v>
      </c>
      <c r="U60" s="372">
        <f t="shared" si="42"/>
        <v>5</v>
      </c>
      <c r="V60" s="172">
        <v>0.95</v>
      </c>
      <c r="W60" s="371">
        <f t="shared" si="43"/>
        <v>78840.790700000012</v>
      </c>
      <c r="X60" s="373"/>
      <c r="Y60" s="373"/>
      <c r="Z60" s="373"/>
      <c r="AA60" s="373"/>
      <c r="AB60" s="373"/>
      <c r="AC60" s="373"/>
      <c r="AD60" s="373">
        <f>+$R60</f>
        <v>829.9030600000001</v>
      </c>
      <c r="AE60" s="373">
        <f>+$T60/5</f>
        <v>663.92244800000003</v>
      </c>
      <c r="AF60" s="373">
        <f>+AE60</f>
        <v>663.92244800000003</v>
      </c>
      <c r="AG60" s="373">
        <f>+AF60</f>
        <v>663.92244800000003</v>
      </c>
      <c r="AH60" s="373">
        <f>+AG60</f>
        <v>663.92244800000003</v>
      </c>
      <c r="AI60" s="373">
        <f>+AH60</f>
        <v>663.92244800000003</v>
      </c>
      <c r="AJ60" s="373">
        <f>+$W60</f>
        <v>78840.790700000012</v>
      </c>
      <c r="AK60" s="373">
        <v>0</v>
      </c>
      <c r="AL60" s="373">
        <v>0</v>
      </c>
      <c r="AM60" s="373">
        <v>0</v>
      </c>
      <c r="AN60" s="373">
        <v>0</v>
      </c>
      <c r="AO60" s="373">
        <v>0</v>
      </c>
      <c r="AP60" s="373">
        <v>0</v>
      </c>
      <c r="AQ60" s="373">
        <v>0</v>
      </c>
      <c r="AR60" s="373">
        <v>0</v>
      </c>
      <c r="AS60" s="373">
        <v>0</v>
      </c>
      <c r="AT60" s="373">
        <v>0</v>
      </c>
      <c r="AU60" s="373">
        <v>0</v>
      </c>
      <c r="AV60" s="373">
        <v>0</v>
      </c>
      <c r="AW60" s="373">
        <v>0</v>
      </c>
      <c r="AX60" s="373">
        <v>0</v>
      </c>
      <c r="AY60" s="373">
        <v>0</v>
      </c>
      <c r="AZ60" s="373">
        <v>0</v>
      </c>
      <c r="BA60" s="373">
        <v>0</v>
      </c>
      <c r="BB60" s="373">
        <v>0</v>
      </c>
      <c r="BC60" s="373">
        <v>0</v>
      </c>
      <c r="BD60" s="373">
        <v>0</v>
      </c>
      <c r="BE60" s="373">
        <v>0</v>
      </c>
      <c r="BF60" s="373">
        <v>0</v>
      </c>
      <c r="BG60" s="373">
        <v>0</v>
      </c>
      <c r="BH60" s="373">
        <v>0</v>
      </c>
      <c r="BI60" s="373">
        <v>0</v>
      </c>
      <c r="BJ60" s="373">
        <v>0</v>
      </c>
      <c r="BK60" s="373">
        <v>0</v>
      </c>
      <c r="BL60" s="373">
        <v>0</v>
      </c>
      <c r="BM60" s="373">
        <v>0</v>
      </c>
      <c r="BN60" s="373">
        <v>0</v>
      </c>
      <c r="BO60" s="373">
        <v>0</v>
      </c>
      <c r="BP60" s="373">
        <v>0</v>
      </c>
      <c r="BQ60" s="373">
        <v>0</v>
      </c>
      <c r="BR60" s="373">
        <v>0</v>
      </c>
      <c r="BS60" s="373">
        <v>0</v>
      </c>
      <c r="BT60" s="373">
        <v>0</v>
      </c>
      <c r="BU60" s="373">
        <v>0</v>
      </c>
      <c r="BV60" s="373">
        <v>0</v>
      </c>
      <c r="BW60" s="373">
        <v>0</v>
      </c>
      <c r="BX60" s="373">
        <v>0</v>
      </c>
      <c r="BY60" s="373">
        <v>0</v>
      </c>
      <c r="BZ60" s="373">
        <v>0</v>
      </c>
      <c r="CA60" s="373">
        <v>0</v>
      </c>
      <c r="CB60" s="373">
        <v>0</v>
      </c>
      <c r="CC60" s="373">
        <v>0</v>
      </c>
      <c r="CD60" s="373">
        <v>0</v>
      </c>
      <c r="CE60" s="373">
        <v>0</v>
      </c>
      <c r="CF60" s="373">
        <v>0</v>
      </c>
      <c r="CG60" s="373">
        <v>0</v>
      </c>
      <c r="CH60" s="373">
        <v>0</v>
      </c>
      <c r="CI60" s="373">
        <v>0</v>
      </c>
      <c r="CJ60" s="373">
        <v>0</v>
      </c>
      <c r="CK60" s="373">
        <v>0</v>
      </c>
      <c r="CL60" s="373">
        <v>0</v>
      </c>
      <c r="CM60" s="373">
        <v>0</v>
      </c>
      <c r="CN60" s="373">
        <v>0</v>
      </c>
      <c r="CO60" s="373">
        <v>0</v>
      </c>
      <c r="CP60" s="373">
        <v>0</v>
      </c>
      <c r="CQ60" s="373">
        <v>0</v>
      </c>
      <c r="CR60" s="373">
        <v>0</v>
      </c>
      <c r="CS60" s="373">
        <v>0</v>
      </c>
      <c r="CT60" s="373">
        <v>0</v>
      </c>
      <c r="CU60" s="373">
        <v>0</v>
      </c>
      <c r="CV60" s="373">
        <v>0</v>
      </c>
      <c r="CW60" s="373">
        <v>0</v>
      </c>
      <c r="CX60" s="373">
        <v>0</v>
      </c>
      <c r="CY60" s="373">
        <v>0</v>
      </c>
      <c r="CZ60" s="373">
        <v>0</v>
      </c>
      <c r="DA60" s="373">
        <v>0</v>
      </c>
      <c r="DB60" s="373">
        <v>0</v>
      </c>
      <c r="DC60" s="373">
        <v>0</v>
      </c>
      <c r="DD60" s="373">
        <v>0</v>
      </c>
      <c r="DE60" s="373">
        <v>0</v>
      </c>
      <c r="DF60" s="373">
        <v>0</v>
      </c>
      <c r="DG60" s="373">
        <v>0</v>
      </c>
      <c r="DH60" s="373">
        <v>0</v>
      </c>
      <c r="DI60" s="373">
        <v>0</v>
      </c>
      <c r="DJ60" s="373">
        <v>0</v>
      </c>
      <c r="DK60" s="373">
        <v>0</v>
      </c>
      <c r="DL60" s="373">
        <v>0</v>
      </c>
      <c r="DM60" s="373">
        <v>0</v>
      </c>
      <c r="DN60" s="373">
        <v>0</v>
      </c>
      <c r="DO60" s="373">
        <v>0</v>
      </c>
      <c r="DP60" s="373">
        <v>0</v>
      </c>
      <c r="DQ60" s="373">
        <v>0</v>
      </c>
      <c r="DR60" s="373">
        <v>0</v>
      </c>
      <c r="DS60" s="365">
        <v>0</v>
      </c>
      <c r="DT60" s="374">
        <f t="shared" si="44"/>
        <v>82990.306000000011</v>
      </c>
      <c r="DU60" s="375">
        <f t="shared" si="45"/>
        <v>0</v>
      </c>
      <c r="DV60" s="376"/>
      <c r="DW60" s="138" t="b">
        <f t="shared" si="46"/>
        <v>1</v>
      </c>
    </row>
    <row r="61" spans="1:127" s="138" customFormat="1" ht="12" customHeight="1">
      <c r="A61" s="173" t="s">
        <v>397</v>
      </c>
      <c r="B61" s="170"/>
      <c r="C61" s="171" t="s">
        <v>280</v>
      </c>
      <c r="D61" s="171"/>
      <c r="E61" s="365">
        <f t="shared" si="48"/>
        <v>74.010000000000005</v>
      </c>
      <c r="F61" s="365">
        <f t="shared" si="49"/>
        <v>1.08</v>
      </c>
      <c r="G61" s="365">
        <f t="shared" si="36"/>
        <v>75.09</v>
      </c>
      <c r="H61" s="365">
        <f t="shared" si="50"/>
        <v>9.06</v>
      </c>
      <c r="I61" s="365">
        <f t="shared" si="47"/>
        <v>149.1</v>
      </c>
      <c r="J61" s="366">
        <f t="shared" si="37"/>
        <v>1350.846</v>
      </c>
      <c r="K61" s="380" t="s">
        <v>398</v>
      </c>
      <c r="L61" s="378" t="s">
        <v>320</v>
      </c>
      <c r="M61" s="365">
        <v>7000</v>
      </c>
      <c r="N61" s="379">
        <f t="shared" si="51"/>
        <v>994</v>
      </c>
      <c r="O61" s="381">
        <f t="shared" si="38"/>
        <v>82990.306000000011</v>
      </c>
      <c r="P61" s="370">
        <f t="shared" si="39"/>
        <v>1105.2111599414038</v>
      </c>
      <c r="Q61" s="172">
        <v>0.01</v>
      </c>
      <c r="R61" s="371">
        <f t="shared" si="40"/>
        <v>829.9030600000001</v>
      </c>
      <c r="S61" s="172">
        <v>0.04</v>
      </c>
      <c r="T61" s="371">
        <f t="shared" si="41"/>
        <v>3319.6122400000004</v>
      </c>
      <c r="U61" s="372">
        <f t="shared" si="42"/>
        <v>3</v>
      </c>
      <c r="V61" s="172">
        <v>0.95</v>
      </c>
      <c r="W61" s="371">
        <f t="shared" si="43"/>
        <v>78840.790700000012</v>
      </c>
      <c r="X61" s="373"/>
      <c r="Y61" s="373"/>
      <c r="Z61" s="373"/>
      <c r="AA61" s="373"/>
      <c r="AB61" s="373"/>
      <c r="AC61" s="373"/>
      <c r="AD61" s="373">
        <f>+$R61</f>
        <v>829.9030600000001</v>
      </c>
      <c r="AE61" s="373">
        <f>+$T61/3</f>
        <v>1106.5374133333335</v>
      </c>
      <c r="AF61" s="373">
        <f>+AE61</f>
        <v>1106.5374133333335</v>
      </c>
      <c r="AG61" s="373">
        <f>+AF61</f>
        <v>1106.5374133333335</v>
      </c>
      <c r="AH61" s="373">
        <f>+$W61</f>
        <v>78840.790700000012</v>
      </c>
      <c r="AI61" s="373">
        <v>0</v>
      </c>
      <c r="AJ61" s="373">
        <v>0</v>
      </c>
      <c r="AK61" s="373">
        <v>0</v>
      </c>
      <c r="AL61" s="373">
        <v>0</v>
      </c>
      <c r="AM61" s="373">
        <v>0</v>
      </c>
      <c r="AN61" s="373">
        <v>0</v>
      </c>
      <c r="AO61" s="373">
        <v>0</v>
      </c>
      <c r="AP61" s="373">
        <v>0</v>
      </c>
      <c r="AQ61" s="373">
        <v>0</v>
      </c>
      <c r="AR61" s="373">
        <v>0</v>
      </c>
      <c r="AS61" s="373">
        <v>0</v>
      </c>
      <c r="AT61" s="373">
        <v>0</v>
      </c>
      <c r="AU61" s="373">
        <v>0</v>
      </c>
      <c r="AV61" s="373">
        <v>0</v>
      </c>
      <c r="AW61" s="373">
        <v>0</v>
      </c>
      <c r="AX61" s="373">
        <v>0</v>
      </c>
      <c r="AY61" s="373">
        <v>0</v>
      </c>
      <c r="AZ61" s="373">
        <v>0</v>
      </c>
      <c r="BA61" s="373">
        <v>0</v>
      </c>
      <c r="BB61" s="373">
        <v>0</v>
      </c>
      <c r="BC61" s="373">
        <v>0</v>
      </c>
      <c r="BD61" s="373">
        <v>0</v>
      </c>
      <c r="BE61" s="373">
        <v>0</v>
      </c>
      <c r="BF61" s="373">
        <v>0</v>
      </c>
      <c r="BG61" s="373">
        <v>0</v>
      </c>
      <c r="BH61" s="373">
        <v>0</v>
      </c>
      <c r="BI61" s="373">
        <v>0</v>
      </c>
      <c r="BJ61" s="373">
        <v>0</v>
      </c>
      <c r="BK61" s="373">
        <v>0</v>
      </c>
      <c r="BL61" s="373">
        <v>0</v>
      </c>
      <c r="BM61" s="373">
        <v>0</v>
      </c>
      <c r="BN61" s="373">
        <v>0</v>
      </c>
      <c r="BO61" s="373">
        <v>0</v>
      </c>
      <c r="BP61" s="373">
        <v>0</v>
      </c>
      <c r="BQ61" s="373">
        <v>0</v>
      </c>
      <c r="BR61" s="373">
        <v>0</v>
      </c>
      <c r="BS61" s="373">
        <v>0</v>
      </c>
      <c r="BT61" s="373">
        <v>0</v>
      </c>
      <c r="BU61" s="373">
        <v>0</v>
      </c>
      <c r="BV61" s="373">
        <v>0</v>
      </c>
      <c r="BW61" s="373">
        <v>0</v>
      </c>
      <c r="BX61" s="373">
        <v>0</v>
      </c>
      <c r="BY61" s="373">
        <v>0</v>
      </c>
      <c r="BZ61" s="373">
        <v>0</v>
      </c>
      <c r="CA61" s="373">
        <v>0</v>
      </c>
      <c r="CB61" s="373">
        <v>0</v>
      </c>
      <c r="CC61" s="373">
        <v>0</v>
      </c>
      <c r="CD61" s="373">
        <v>0</v>
      </c>
      <c r="CE61" s="373">
        <v>0</v>
      </c>
      <c r="CF61" s="373">
        <v>0</v>
      </c>
      <c r="CG61" s="373">
        <v>0</v>
      </c>
      <c r="CH61" s="373">
        <v>0</v>
      </c>
      <c r="CI61" s="373">
        <v>0</v>
      </c>
      <c r="CJ61" s="373">
        <v>0</v>
      </c>
      <c r="CK61" s="373">
        <v>0</v>
      </c>
      <c r="CL61" s="373">
        <v>0</v>
      </c>
      <c r="CM61" s="373">
        <v>0</v>
      </c>
      <c r="CN61" s="373">
        <v>0</v>
      </c>
      <c r="CO61" s="373">
        <v>0</v>
      </c>
      <c r="CP61" s="373">
        <v>0</v>
      </c>
      <c r="CQ61" s="373">
        <v>0</v>
      </c>
      <c r="CR61" s="373">
        <v>0</v>
      </c>
      <c r="CS61" s="373">
        <v>0</v>
      </c>
      <c r="CT61" s="373">
        <v>0</v>
      </c>
      <c r="CU61" s="373">
        <v>0</v>
      </c>
      <c r="CV61" s="373">
        <v>0</v>
      </c>
      <c r="CW61" s="373">
        <v>0</v>
      </c>
      <c r="CX61" s="373">
        <v>0</v>
      </c>
      <c r="CY61" s="373">
        <v>0</v>
      </c>
      <c r="CZ61" s="373">
        <v>0</v>
      </c>
      <c r="DA61" s="373">
        <v>0</v>
      </c>
      <c r="DB61" s="373">
        <v>0</v>
      </c>
      <c r="DC61" s="373">
        <v>0</v>
      </c>
      <c r="DD61" s="373">
        <v>0</v>
      </c>
      <c r="DE61" s="373">
        <v>0</v>
      </c>
      <c r="DF61" s="373">
        <v>0</v>
      </c>
      <c r="DG61" s="373">
        <v>0</v>
      </c>
      <c r="DH61" s="373">
        <v>0</v>
      </c>
      <c r="DI61" s="373">
        <v>0</v>
      </c>
      <c r="DJ61" s="373">
        <v>0</v>
      </c>
      <c r="DK61" s="373">
        <v>0</v>
      </c>
      <c r="DL61" s="373">
        <v>0</v>
      </c>
      <c r="DM61" s="373">
        <v>0</v>
      </c>
      <c r="DN61" s="373">
        <v>0</v>
      </c>
      <c r="DO61" s="373">
        <v>0</v>
      </c>
      <c r="DP61" s="373">
        <v>0</v>
      </c>
      <c r="DQ61" s="373">
        <v>0</v>
      </c>
      <c r="DR61" s="373">
        <v>0</v>
      </c>
      <c r="DS61" s="365">
        <v>0</v>
      </c>
      <c r="DT61" s="374">
        <f t="shared" si="44"/>
        <v>82990.306000000011</v>
      </c>
      <c r="DU61" s="375">
        <f t="shared" si="45"/>
        <v>0</v>
      </c>
      <c r="DV61" s="376"/>
      <c r="DW61" s="138" t="b">
        <f t="shared" si="46"/>
        <v>1</v>
      </c>
    </row>
    <row r="62" spans="1:127" s="138" customFormat="1" ht="12" customHeight="1">
      <c r="A62" s="173" t="s">
        <v>399</v>
      </c>
      <c r="B62" s="170"/>
      <c r="C62" s="171" t="s">
        <v>280</v>
      </c>
      <c r="D62" s="171"/>
      <c r="E62" s="365">
        <f t="shared" si="48"/>
        <v>74.010000000000005</v>
      </c>
      <c r="F62" s="365">
        <f t="shared" si="49"/>
        <v>1.08</v>
      </c>
      <c r="G62" s="365">
        <f t="shared" si="36"/>
        <v>75.09</v>
      </c>
      <c r="H62" s="365">
        <f t="shared" si="50"/>
        <v>9.06</v>
      </c>
      <c r="I62" s="365">
        <f t="shared" si="47"/>
        <v>149.1</v>
      </c>
      <c r="J62" s="366">
        <f t="shared" si="37"/>
        <v>1350.846</v>
      </c>
      <c r="K62" s="380" t="s">
        <v>400</v>
      </c>
      <c r="L62" s="378" t="s">
        <v>320</v>
      </c>
      <c r="M62" s="365">
        <v>7000</v>
      </c>
      <c r="N62" s="379">
        <f t="shared" si="51"/>
        <v>994</v>
      </c>
      <c r="O62" s="381">
        <f t="shared" si="38"/>
        <v>82990.306000000011</v>
      </c>
      <c r="P62" s="370">
        <f t="shared" si="39"/>
        <v>1105.2111599414038</v>
      </c>
      <c r="Q62" s="172">
        <v>0.01</v>
      </c>
      <c r="R62" s="371">
        <f t="shared" si="40"/>
        <v>829.9030600000001</v>
      </c>
      <c r="S62" s="172">
        <v>0.04</v>
      </c>
      <c r="T62" s="371">
        <f t="shared" si="41"/>
        <v>3319.6122400000004</v>
      </c>
      <c r="U62" s="372">
        <f t="shared" si="42"/>
        <v>5</v>
      </c>
      <c r="V62" s="172">
        <v>0.95</v>
      </c>
      <c r="W62" s="371">
        <f t="shared" si="43"/>
        <v>78840.790700000012</v>
      </c>
      <c r="X62" s="373"/>
      <c r="Y62" s="373"/>
      <c r="Z62" s="373"/>
      <c r="AA62" s="373"/>
      <c r="AB62" s="373"/>
      <c r="AC62" s="373"/>
      <c r="AD62" s="373"/>
      <c r="AE62" s="373">
        <f>+$R62</f>
        <v>829.9030600000001</v>
      </c>
      <c r="AF62" s="373">
        <f>+$T62/5</f>
        <v>663.92244800000003</v>
      </c>
      <c r="AG62" s="373">
        <f>+AF62</f>
        <v>663.92244800000003</v>
      </c>
      <c r="AH62" s="373">
        <f>+AG62</f>
        <v>663.92244800000003</v>
      </c>
      <c r="AI62" s="373">
        <f>+AH62</f>
        <v>663.92244800000003</v>
      </c>
      <c r="AJ62" s="373">
        <f>+AI62</f>
        <v>663.92244800000003</v>
      </c>
      <c r="AK62" s="373">
        <f>+$W62</f>
        <v>78840.790700000012</v>
      </c>
      <c r="AL62" s="373">
        <v>0</v>
      </c>
      <c r="AM62" s="373">
        <v>0</v>
      </c>
      <c r="AN62" s="373">
        <v>0</v>
      </c>
      <c r="AO62" s="373">
        <v>0</v>
      </c>
      <c r="AP62" s="373">
        <f>+AO62</f>
        <v>0</v>
      </c>
      <c r="AQ62" s="373">
        <v>0</v>
      </c>
      <c r="AR62" s="373">
        <v>0</v>
      </c>
      <c r="AS62" s="373">
        <v>0</v>
      </c>
      <c r="AT62" s="373">
        <v>0</v>
      </c>
      <c r="AU62" s="373">
        <v>0</v>
      </c>
      <c r="AV62" s="373">
        <v>0</v>
      </c>
      <c r="AW62" s="373">
        <v>0</v>
      </c>
      <c r="AX62" s="373">
        <v>0</v>
      </c>
      <c r="AY62" s="373">
        <v>0</v>
      </c>
      <c r="AZ62" s="373">
        <v>0</v>
      </c>
      <c r="BA62" s="373">
        <v>0</v>
      </c>
      <c r="BB62" s="373">
        <v>0</v>
      </c>
      <c r="BC62" s="373">
        <v>0</v>
      </c>
      <c r="BD62" s="373">
        <v>0</v>
      </c>
      <c r="BE62" s="373">
        <v>0</v>
      </c>
      <c r="BF62" s="373">
        <v>0</v>
      </c>
      <c r="BG62" s="373">
        <v>0</v>
      </c>
      <c r="BH62" s="373">
        <v>0</v>
      </c>
      <c r="BI62" s="373">
        <v>0</v>
      </c>
      <c r="BJ62" s="373">
        <v>0</v>
      </c>
      <c r="BK62" s="373">
        <v>0</v>
      </c>
      <c r="BL62" s="373">
        <v>0</v>
      </c>
      <c r="BM62" s="373">
        <v>0</v>
      </c>
      <c r="BN62" s="373">
        <v>0</v>
      </c>
      <c r="BO62" s="373">
        <v>0</v>
      </c>
      <c r="BP62" s="373">
        <v>0</v>
      </c>
      <c r="BQ62" s="373">
        <v>0</v>
      </c>
      <c r="BR62" s="373">
        <v>0</v>
      </c>
      <c r="BS62" s="373">
        <v>0</v>
      </c>
      <c r="BT62" s="373">
        <v>0</v>
      </c>
      <c r="BU62" s="373">
        <v>0</v>
      </c>
      <c r="BV62" s="373">
        <v>0</v>
      </c>
      <c r="BW62" s="373">
        <v>0</v>
      </c>
      <c r="BX62" s="373">
        <v>0</v>
      </c>
      <c r="BY62" s="373">
        <v>0</v>
      </c>
      <c r="BZ62" s="373">
        <v>0</v>
      </c>
      <c r="CA62" s="373">
        <v>0</v>
      </c>
      <c r="CB62" s="373">
        <v>0</v>
      </c>
      <c r="CC62" s="373">
        <v>0</v>
      </c>
      <c r="CD62" s="373">
        <v>0</v>
      </c>
      <c r="CE62" s="373">
        <v>0</v>
      </c>
      <c r="CF62" s="373">
        <v>0</v>
      </c>
      <c r="CG62" s="373">
        <v>0</v>
      </c>
      <c r="CH62" s="373">
        <v>0</v>
      </c>
      <c r="CI62" s="373">
        <v>0</v>
      </c>
      <c r="CJ62" s="373">
        <v>0</v>
      </c>
      <c r="CK62" s="373">
        <v>0</v>
      </c>
      <c r="CL62" s="373">
        <v>0</v>
      </c>
      <c r="CM62" s="373">
        <v>0</v>
      </c>
      <c r="CN62" s="373">
        <v>0</v>
      </c>
      <c r="CO62" s="373">
        <v>0</v>
      </c>
      <c r="CP62" s="373">
        <v>0</v>
      </c>
      <c r="CQ62" s="373">
        <v>0</v>
      </c>
      <c r="CR62" s="373">
        <v>0</v>
      </c>
      <c r="CS62" s="373">
        <v>0</v>
      </c>
      <c r="CT62" s="373">
        <v>0</v>
      </c>
      <c r="CU62" s="373">
        <v>0</v>
      </c>
      <c r="CV62" s="373">
        <v>0</v>
      </c>
      <c r="CW62" s="373">
        <v>0</v>
      </c>
      <c r="CX62" s="373">
        <v>0</v>
      </c>
      <c r="CY62" s="373">
        <v>0</v>
      </c>
      <c r="CZ62" s="373">
        <v>0</v>
      </c>
      <c r="DA62" s="373">
        <v>0</v>
      </c>
      <c r="DB62" s="373">
        <v>0</v>
      </c>
      <c r="DC62" s="373">
        <v>0</v>
      </c>
      <c r="DD62" s="373">
        <v>0</v>
      </c>
      <c r="DE62" s="373">
        <v>0</v>
      </c>
      <c r="DF62" s="373">
        <v>0</v>
      </c>
      <c r="DG62" s="373">
        <v>0</v>
      </c>
      <c r="DH62" s="373">
        <v>0</v>
      </c>
      <c r="DI62" s="373">
        <v>0</v>
      </c>
      <c r="DJ62" s="373">
        <v>0</v>
      </c>
      <c r="DK62" s="373">
        <v>0</v>
      </c>
      <c r="DL62" s="373">
        <v>0</v>
      </c>
      <c r="DM62" s="373">
        <v>0</v>
      </c>
      <c r="DN62" s="373">
        <v>0</v>
      </c>
      <c r="DO62" s="373">
        <v>0</v>
      </c>
      <c r="DP62" s="373">
        <v>0</v>
      </c>
      <c r="DQ62" s="373">
        <v>0</v>
      </c>
      <c r="DR62" s="373">
        <v>0</v>
      </c>
      <c r="DS62" s="365">
        <v>0</v>
      </c>
      <c r="DT62" s="374">
        <f t="shared" si="44"/>
        <v>82990.306000000011</v>
      </c>
      <c r="DU62" s="375">
        <f t="shared" si="45"/>
        <v>0</v>
      </c>
      <c r="DV62" s="376"/>
      <c r="DW62" s="138" t="b">
        <f t="shared" si="46"/>
        <v>1</v>
      </c>
    </row>
    <row r="63" spans="1:127" s="138" customFormat="1" ht="12" customHeight="1">
      <c r="A63" s="173" t="s">
        <v>401</v>
      </c>
      <c r="B63" s="170"/>
      <c r="C63" s="171" t="s">
        <v>280</v>
      </c>
      <c r="D63" s="171"/>
      <c r="E63" s="365">
        <f t="shared" si="48"/>
        <v>74.010000000000005</v>
      </c>
      <c r="F63" s="365">
        <f t="shared" si="49"/>
        <v>1.08</v>
      </c>
      <c r="G63" s="365">
        <f t="shared" si="36"/>
        <v>75.09</v>
      </c>
      <c r="H63" s="365">
        <f t="shared" si="50"/>
        <v>9.06</v>
      </c>
      <c r="I63" s="365">
        <f t="shared" si="47"/>
        <v>149.1</v>
      </c>
      <c r="J63" s="366">
        <f t="shared" si="37"/>
        <v>1350.846</v>
      </c>
      <c r="K63" s="380" t="s">
        <v>402</v>
      </c>
      <c r="L63" s="378" t="s">
        <v>320</v>
      </c>
      <c r="M63" s="365">
        <v>7000</v>
      </c>
      <c r="N63" s="379">
        <f t="shared" si="51"/>
        <v>994</v>
      </c>
      <c r="O63" s="381">
        <f t="shared" si="38"/>
        <v>82990.306000000011</v>
      </c>
      <c r="P63" s="370">
        <f t="shared" si="39"/>
        <v>1105.2111599414038</v>
      </c>
      <c r="Q63" s="172">
        <v>0.01</v>
      </c>
      <c r="R63" s="371">
        <f t="shared" si="40"/>
        <v>829.9030600000001</v>
      </c>
      <c r="S63" s="172">
        <v>0.04</v>
      </c>
      <c r="T63" s="371">
        <f t="shared" si="41"/>
        <v>3319.6122400000004</v>
      </c>
      <c r="U63" s="372">
        <f t="shared" si="42"/>
        <v>3</v>
      </c>
      <c r="V63" s="172">
        <v>0.95</v>
      </c>
      <c r="W63" s="371">
        <f t="shared" si="43"/>
        <v>78840.790700000012</v>
      </c>
      <c r="X63" s="373"/>
      <c r="Y63" s="373"/>
      <c r="Z63" s="373"/>
      <c r="AA63" s="373"/>
      <c r="AB63" s="373"/>
      <c r="AC63" s="373"/>
      <c r="AD63" s="373"/>
      <c r="AE63" s="373">
        <f>+$R63</f>
        <v>829.9030600000001</v>
      </c>
      <c r="AF63" s="373">
        <f>+$T63/3</f>
        <v>1106.5374133333335</v>
      </c>
      <c r="AG63" s="373">
        <f>+AF63</f>
        <v>1106.5374133333335</v>
      </c>
      <c r="AH63" s="373">
        <f>+AG63</f>
        <v>1106.5374133333335</v>
      </c>
      <c r="AI63" s="373">
        <f>+$W63</f>
        <v>78840.790700000012</v>
      </c>
      <c r="AJ63" s="373">
        <v>0</v>
      </c>
      <c r="AK63" s="373">
        <v>0</v>
      </c>
      <c r="AL63" s="373">
        <v>0</v>
      </c>
      <c r="AM63" s="373">
        <v>0</v>
      </c>
      <c r="AN63" s="373">
        <v>0</v>
      </c>
      <c r="AO63" s="373">
        <v>0</v>
      </c>
      <c r="AP63" s="373">
        <v>0</v>
      </c>
      <c r="AQ63" s="373">
        <v>0</v>
      </c>
      <c r="AR63" s="373">
        <v>0</v>
      </c>
      <c r="AS63" s="373">
        <v>0</v>
      </c>
      <c r="AT63" s="373">
        <v>0</v>
      </c>
      <c r="AU63" s="373">
        <v>0</v>
      </c>
      <c r="AV63" s="373">
        <v>0</v>
      </c>
      <c r="AW63" s="373">
        <v>0</v>
      </c>
      <c r="AX63" s="373">
        <v>0</v>
      </c>
      <c r="AY63" s="373">
        <v>0</v>
      </c>
      <c r="AZ63" s="373">
        <v>0</v>
      </c>
      <c r="BA63" s="373">
        <v>0</v>
      </c>
      <c r="BB63" s="373">
        <v>0</v>
      </c>
      <c r="BC63" s="373">
        <v>0</v>
      </c>
      <c r="BD63" s="373">
        <v>0</v>
      </c>
      <c r="BE63" s="373">
        <v>0</v>
      </c>
      <c r="BF63" s="373">
        <v>0</v>
      </c>
      <c r="BG63" s="373">
        <v>0</v>
      </c>
      <c r="BH63" s="373">
        <v>0</v>
      </c>
      <c r="BI63" s="373">
        <v>0</v>
      </c>
      <c r="BJ63" s="373">
        <v>0</v>
      </c>
      <c r="BK63" s="373">
        <v>0</v>
      </c>
      <c r="BL63" s="373">
        <v>0</v>
      </c>
      <c r="BM63" s="373">
        <v>0</v>
      </c>
      <c r="BN63" s="373">
        <v>0</v>
      </c>
      <c r="BO63" s="373">
        <v>0</v>
      </c>
      <c r="BP63" s="373">
        <v>0</v>
      </c>
      <c r="BQ63" s="373">
        <v>0</v>
      </c>
      <c r="BR63" s="373">
        <v>0</v>
      </c>
      <c r="BS63" s="373">
        <v>0</v>
      </c>
      <c r="BT63" s="373">
        <v>0</v>
      </c>
      <c r="BU63" s="373">
        <v>0</v>
      </c>
      <c r="BV63" s="373">
        <v>0</v>
      </c>
      <c r="BW63" s="373">
        <v>0</v>
      </c>
      <c r="BX63" s="373">
        <v>0</v>
      </c>
      <c r="BY63" s="373">
        <v>0</v>
      </c>
      <c r="BZ63" s="373">
        <v>0</v>
      </c>
      <c r="CA63" s="373">
        <v>0</v>
      </c>
      <c r="CB63" s="373">
        <v>0</v>
      </c>
      <c r="CC63" s="373">
        <v>0</v>
      </c>
      <c r="CD63" s="373">
        <v>0</v>
      </c>
      <c r="CE63" s="373">
        <v>0</v>
      </c>
      <c r="CF63" s="373">
        <v>0</v>
      </c>
      <c r="CG63" s="373">
        <v>0</v>
      </c>
      <c r="CH63" s="373">
        <v>0</v>
      </c>
      <c r="CI63" s="373">
        <v>0</v>
      </c>
      <c r="CJ63" s="373">
        <v>0</v>
      </c>
      <c r="CK63" s="373">
        <v>0</v>
      </c>
      <c r="CL63" s="373">
        <v>0</v>
      </c>
      <c r="CM63" s="373">
        <v>0</v>
      </c>
      <c r="CN63" s="373">
        <v>0</v>
      </c>
      <c r="CO63" s="373">
        <v>0</v>
      </c>
      <c r="CP63" s="373">
        <v>0</v>
      </c>
      <c r="CQ63" s="373">
        <v>0</v>
      </c>
      <c r="CR63" s="373">
        <v>0</v>
      </c>
      <c r="CS63" s="373">
        <v>0</v>
      </c>
      <c r="CT63" s="373">
        <v>0</v>
      </c>
      <c r="CU63" s="373">
        <v>0</v>
      </c>
      <c r="CV63" s="373">
        <v>0</v>
      </c>
      <c r="CW63" s="373">
        <v>0</v>
      </c>
      <c r="CX63" s="373">
        <v>0</v>
      </c>
      <c r="CY63" s="373">
        <v>0</v>
      </c>
      <c r="CZ63" s="373">
        <v>0</v>
      </c>
      <c r="DA63" s="373">
        <v>0</v>
      </c>
      <c r="DB63" s="373">
        <v>0</v>
      </c>
      <c r="DC63" s="373">
        <v>0</v>
      </c>
      <c r="DD63" s="373">
        <v>0</v>
      </c>
      <c r="DE63" s="373">
        <v>0</v>
      </c>
      <c r="DF63" s="373">
        <v>0</v>
      </c>
      <c r="DG63" s="373">
        <v>0</v>
      </c>
      <c r="DH63" s="373">
        <v>0</v>
      </c>
      <c r="DI63" s="373">
        <v>0</v>
      </c>
      <c r="DJ63" s="373">
        <v>0</v>
      </c>
      <c r="DK63" s="373">
        <v>0</v>
      </c>
      <c r="DL63" s="373">
        <v>0</v>
      </c>
      <c r="DM63" s="373">
        <v>0</v>
      </c>
      <c r="DN63" s="373">
        <v>0</v>
      </c>
      <c r="DO63" s="373">
        <v>0</v>
      </c>
      <c r="DP63" s="373">
        <v>0</v>
      </c>
      <c r="DQ63" s="373">
        <v>0</v>
      </c>
      <c r="DR63" s="373">
        <v>0</v>
      </c>
      <c r="DS63" s="365">
        <v>0</v>
      </c>
      <c r="DT63" s="374">
        <f t="shared" si="44"/>
        <v>82990.306000000011</v>
      </c>
      <c r="DU63" s="375">
        <f t="shared" si="45"/>
        <v>0</v>
      </c>
      <c r="DV63" s="376"/>
      <c r="DW63" s="138" t="b">
        <f t="shared" si="46"/>
        <v>1</v>
      </c>
    </row>
    <row r="64" spans="1:127" s="138" customFormat="1" ht="12" customHeight="1">
      <c r="A64" s="173" t="s">
        <v>403</v>
      </c>
      <c r="B64" s="170"/>
      <c r="C64" s="171" t="s">
        <v>280</v>
      </c>
      <c r="D64" s="171"/>
      <c r="E64" s="365">
        <f t="shared" si="48"/>
        <v>74.010000000000005</v>
      </c>
      <c r="F64" s="365">
        <f t="shared" si="49"/>
        <v>1.08</v>
      </c>
      <c r="G64" s="365">
        <f t="shared" si="36"/>
        <v>75.09</v>
      </c>
      <c r="H64" s="365">
        <f t="shared" si="50"/>
        <v>9.06</v>
      </c>
      <c r="I64" s="365">
        <f t="shared" si="47"/>
        <v>149.1</v>
      </c>
      <c r="J64" s="366">
        <f t="shared" si="37"/>
        <v>1350.846</v>
      </c>
      <c r="K64" s="380" t="s">
        <v>404</v>
      </c>
      <c r="L64" s="378" t="s">
        <v>320</v>
      </c>
      <c r="M64" s="365">
        <v>7000</v>
      </c>
      <c r="N64" s="379">
        <f t="shared" si="51"/>
        <v>994</v>
      </c>
      <c r="O64" s="381">
        <f t="shared" si="38"/>
        <v>82990.306000000011</v>
      </c>
      <c r="P64" s="370">
        <f t="shared" si="39"/>
        <v>1105.2111599414038</v>
      </c>
      <c r="Q64" s="172">
        <v>0.01</v>
      </c>
      <c r="R64" s="371">
        <f t="shared" si="40"/>
        <v>829.9030600000001</v>
      </c>
      <c r="S64" s="172">
        <v>0.04</v>
      </c>
      <c r="T64" s="371">
        <f t="shared" si="41"/>
        <v>3319.6122400000004</v>
      </c>
      <c r="U64" s="372">
        <f t="shared" si="42"/>
        <v>5</v>
      </c>
      <c r="V64" s="172">
        <v>0.95</v>
      </c>
      <c r="W64" s="371">
        <f t="shared" si="43"/>
        <v>78840.790700000012</v>
      </c>
      <c r="X64" s="373"/>
      <c r="Y64" s="373"/>
      <c r="Z64" s="373"/>
      <c r="AA64" s="373"/>
      <c r="AB64" s="373"/>
      <c r="AC64" s="373"/>
      <c r="AE64" s="373"/>
      <c r="AF64" s="373">
        <f>+$R64</f>
        <v>829.9030600000001</v>
      </c>
      <c r="AG64" s="373">
        <f>+$T64/5</f>
        <v>663.92244800000003</v>
      </c>
      <c r="AH64" s="373">
        <f>+AG64</f>
        <v>663.92244800000003</v>
      </c>
      <c r="AI64" s="373">
        <f>+AH64</f>
        <v>663.92244800000003</v>
      </c>
      <c r="AJ64" s="373">
        <f>+AI64</f>
        <v>663.92244800000003</v>
      </c>
      <c r="AK64" s="373">
        <f>+AJ64</f>
        <v>663.92244800000003</v>
      </c>
      <c r="AL64" s="373">
        <f>+$W64</f>
        <v>78840.790700000012</v>
      </c>
      <c r="AM64" s="373">
        <v>0</v>
      </c>
      <c r="AN64" s="373">
        <v>0</v>
      </c>
      <c r="AO64" s="373">
        <v>0</v>
      </c>
      <c r="AP64" s="373">
        <v>0</v>
      </c>
      <c r="AQ64" s="373">
        <v>0</v>
      </c>
      <c r="AR64" s="373">
        <v>0</v>
      </c>
      <c r="AS64" s="373">
        <v>0</v>
      </c>
      <c r="AT64" s="373">
        <v>0</v>
      </c>
      <c r="AU64" s="373">
        <v>0</v>
      </c>
      <c r="AV64" s="373">
        <v>0</v>
      </c>
      <c r="AW64" s="373">
        <v>0</v>
      </c>
      <c r="AX64" s="373">
        <v>0</v>
      </c>
      <c r="AY64" s="373">
        <v>0</v>
      </c>
      <c r="AZ64" s="373">
        <v>0</v>
      </c>
      <c r="BA64" s="373">
        <v>0</v>
      </c>
      <c r="BB64" s="373">
        <v>0</v>
      </c>
      <c r="BC64" s="373">
        <v>0</v>
      </c>
      <c r="BD64" s="373">
        <v>0</v>
      </c>
      <c r="BE64" s="373">
        <v>0</v>
      </c>
      <c r="BF64" s="373">
        <v>0</v>
      </c>
      <c r="BG64" s="373">
        <v>0</v>
      </c>
      <c r="BH64" s="373">
        <v>0</v>
      </c>
      <c r="BI64" s="373">
        <v>0</v>
      </c>
      <c r="BJ64" s="373">
        <v>0</v>
      </c>
      <c r="BK64" s="373">
        <v>0</v>
      </c>
      <c r="BL64" s="373">
        <v>0</v>
      </c>
      <c r="BM64" s="373">
        <v>0</v>
      </c>
      <c r="BN64" s="373">
        <v>0</v>
      </c>
      <c r="BO64" s="373">
        <v>0</v>
      </c>
      <c r="BP64" s="373">
        <v>0</v>
      </c>
      <c r="BQ64" s="373">
        <v>0</v>
      </c>
      <c r="BR64" s="373">
        <v>0</v>
      </c>
      <c r="BS64" s="373">
        <v>0</v>
      </c>
      <c r="BT64" s="373">
        <v>0</v>
      </c>
      <c r="BU64" s="373">
        <v>0</v>
      </c>
      <c r="BV64" s="373">
        <v>0</v>
      </c>
      <c r="BW64" s="373">
        <v>0</v>
      </c>
      <c r="BX64" s="373">
        <v>0</v>
      </c>
      <c r="BY64" s="373">
        <v>0</v>
      </c>
      <c r="BZ64" s="373">
        <v>0</v>
      </c>
      <c r="CA64" s="373">
        <v>0</v>
      </c>
      <c r="CB64" s="373">
        <v>0</v>
      </c>
      <c r="CC64" s="373">
        <v>0</v>
      </c>
      <c r="CD64" s="373">
        <v>0</v>
      </c>
      <c r="CE64" s="373">
        <v>0</v>
      </c>
      <c r="CF64" s="373">
        <v>0</v>
      </c>
      <c r="CG64" s="373">
        <v>0</v>
      </c>
      <c r="CH64" s="373">
        <v>0</v>
      </c>
      <c r="CI64" s="373">
        <v>0</v>
      </c>
      <c r="CJ64" s="373">
        <v>0</v>
      </c>
      <c r="CK64" s="373">
        <v>0</v>
      </c>
      <c r="CL64" s="373">
        <v>0</v>
      </c>
      <c r="CM64" s="373">
        <v>0</v>
      </c>
      <c r="CN64" s="373">
        <v>0</v>
      </c>
      <c r="CO64" s="373">
        <v>0</v>
      </c>
      <c r="CP64" s="373">
        <v>0</v>
      </c>
      <c r="CQ64" s="373">
        <v>0</v>
      </c>
      <c r="CR64" s="373">
        <v>0</v>
      </c>
      <c r="CS64" s="373">
        <v>0</v>
      </c>
      <c r="CT64" s="373">
        <v>0</v>
      </c>
      <c r="CU64" s="373">
        <v>0</v>
      </c>
      <c r="CV64" s="373">
        <v>0</v>
      </c>
      <c r="CW64" s="373">
        <v>0</v>
      </c>
      <c r="CX64" s="373">
        <v>0</v>
      </c>
      <c r="CY64" s="373">
        <v>0</v>
      </c>
      <c r="CZ64" s="373">
        <v>0</v>
      </c>
      <c r="DA64" s="373">
        <v>0</v>
      </c>
      <c r="DB64" s="373">
        <v>0</v>
      </c>
      <c r="DC64" s="373">
        <v>0</v>
      </c>
      <c r="DD64" s="373">
        <v>0</v>
      </c>
      <c r="DE64" s="373">
        <v>0</v>
      </c>
      <c r="DF64" s="373">
        <v>0</v>
      </c>
      <c r="DG64" s="373">
        <v>0</v>
      </c>
      <c r="DH64" s="373">
        <v>0</v>
      </c>
      <c r="DI64" s="373">
        <v>0</v>
      </c>
      <c r="DJ64" s="373">
        <v>0</v>
      </c>
      <c r="DK64" s="373">
        <v>0</v>
      </c>
      <c r="DL64" s="373">
        <v>0</v>
      </c>
      <c r="DM64" s="373">
        <v>0</v>
      </c>
      <c r="DN64" s="373">
        <v>0</v>
      </c>
      <c r="DO64" s="373">
        <v>0</v>
      </c>
      <c r="DP64" s="373">
        <v>0</v>
      </c>
      <c r="DQ64" s="373">
        <v>0</v>
      </c>
      <c r="DR64" s="373">
        <v>0</v>
      </c>
      <c r="DS64" s="365">
        <v>0</v>
      </c>
      <c r="DT64" s="374">
        <f t="shared" si="44"/>
        <v>82990.306000000011</v>
      </c>
      <c r="DU64" s="375">
        <f t="shared" si="45"/>
        <v>0</v>
      </c>
      <c r="DV64" s="376"/>
      <c r="DW64" s="138" t="b">
        <f t="shared" si="46"/>
        <v>1</v>
      </c>
    </row>
    <row r="65" spans="1:127" s="138" customFormat="1" ht="12" customHeight="1">
      <c r="A65" s="173" t="s">
        <v>405</v>
      </c>
      <c r="B65" s="170"/>
      <c r="C65" s="171" t="s">
        <v>280</v>
      </c>
      <c r="D65" s="171"/>
      <c r="E65" s="365">
        <f t="shared" si="48"/>
        <v>74.010000000000005</v>
      </c>
      <c r="F65" s="365">
        <f t="shared" si="49"/>
        <v>1.08</v>
      </c>
      <c r="G65" s="365">
        <f t="shared" si="36"/>
        <v>75.09</v>
      </c>
      <c r="H65" s="365">
        <f t="shared" si="50"/>
        <v>9.06</v>
      </c>
      <c r="I65" s="365">
        <f t="shared" si="47"/>
        <v>149.1</v>
      </c>
      <c r="J65" s="366">
        <f t="shared" si="37"/>
        <v>1350.846</v>
      </c>
      <c r="K65" s="380" t="s">
        <v>406</v>
      </c>
      <c r="L65" s="378" t="s">
        <v>320</v>
      </c>
      <c r="M65" s="365">
        <v>7000</v>
      </c>
      <c r="N65" s="379">
        <f t="shared" si="51"/>
        <v>994</v>
      </c>
      <c r="O65" s="381">
        <f t="shared" si="38"/>
        <v>82990.306000000011</v>
      </c>
      <c r="P65" s="370">
        <f t="shared" si="39"/>
        <v>1105.2111599414038</v>
      </c>
      <c r="Q65" s="172">
        <v>0.01</v>
      </c>
      <c r="R65" s="371">
        <f t="shared" si="40"/>
        <v>829.9030600000001</v>
      </c>
      <c r="S65" s="172">
        <v>0.04</v>
      </c>
      <c r="T65" s="371">
        <f t="shared" si="41"/>
        <v>3319.6122400000004</v>
      </c>
      <c r="U65" s="372">
        <f t="shared" si="42"/>
        <v>3</v>
      </c>
      <c r="V65" s="172">
        <v>0.95</v>
      </c>
      <c r="W65" s="371">
        <f t="shared" si="43"/>
        <v>78840.790700000012</v>
      </c>
      <c r="X65" s="373"/>
      <c r="Y65" s="373"/>
      <c r="Z65" s="373"/>
      <c r="AA65" s="373"/>
      <c r="AB65" s="373"/>
      <c r="AC65" s="373"/>
      <c r="AD65" s="373"/>
      <c r="AE65" s="373"/>
      <c r="AF65" s="373">
        <f>+$R65</f>
        <v>829.9030600000001</v>
      </c>
      <c r="AG65" s="373">
        <f>+$T65/3</f>
        <v>1106.5374133333335</v>
      </c>
      <c r="AH65" s="373">
        <f>+AG65</f>
        <v>1106.5374133333335</v>
      </c>
      <c r="AI65" s="373">
        <f>+AH65</f>
        <v>1106.5374133333335</v>
      </c>
      <c r="AJ65" s="373">
        <f>+$W65</f>
        <v>78840.790700000012</v>
      </c>
      <c r="AK65" s="373">
        <v>0</v>
      </c>
      <c r="AL65" s="373">
        <v>0</v>
      </c>
      <c r="AM65" s="373">
        <v>0</v>
      </c>
      <c r="AN65" s="373">
        <v>0</v>
      </c>
      <c r="AO65" s="373">
        <v>0</v>
      </c>
      <c r="AP65" s="373">
        <v>0</v>
      </c>
      <c r="AQ65" s="373">
        <v>0</v>
      </c>
      <c r="AR65" s="373">
        <v>0</v>
      </c>
      <c r="AS65" s="373">
        <v>0</v>
      </c>
      <c r="AT65" s="373">
        <v>0</v>
      </c>
      <c r="AU65" s="373">
        <v>0</v>
      </c>
      <c r="AV65" s="373">
        <v>0</v>
      </c>
      <c r="AW65" s="373">
        <v>0</v>
      </c>
      <c r="AX65" s="373">
        <v>0</v>
      </c>
      <c r="AY65" s="373">
        <v>0</v>
      </c>
      <c r="AZ65" s="373">
        <v>0</v>
      </c>
      <c r="BA65" s="373">
        <v>0</v>
      </c>
      <c r="BB65" s="373">
        <v>0</v>
      </c>
      <c r="BC65" s="373">
        <v>0</v>
      </c>
      <c r="BD65" s="373">
        <v>0</v>
      </c>
      <c r="BE65" s="373">
        <v>0</v>
      </c>
      <c r="BF65" s="373">
        <v>0</v>
      </c>
      <c r="BG65" s="373">
        <v>0</v>
      </c>
      <c r="BH65" s="373">
        <v>0</v>
      </c>
      <c r="BI65" s="373">
        <v>0</v>
      </c>
      <c r="BJ65" s="373">
        <v>0</v>
      </c>
      <c r="BK65" s="373">
        <v>0</v>
      </c>
      <c r="BL65" s="373">
        <v>0</v>
      </c>
      <c r="BM65" s="373">
        <v>0</v>
      </c>
      <c r="BN65" s="373">
        <v>0</v>
      </c>
      <c r="BO65" s="373">
        <v>0</v>
      </c>
      <c r="BP65" s="373">
        <v>0</v>
      </c>
      <c r="BQ65" s="373">
        <v>0</v>
      </c>
      <c r="BR65" s="373">
        <v>0</v>
      </c>
      <c r="BS65" s="373">
        <v>0</v>
      </c>
      <c r="BT65" s="373">
        <v>0</v>
      </c>
      <c r="BU65" s="373">
        <v>0</v>
      </c>
      <c r="BV65" s="373">
        <v>0</v>
      </c>
      <c r="BW65" s="373">
        <v>0</v>
      </c>
      <c r="BX65" s="373">
        <v>0</v>
      </c>
      <c r="BY65" s="373">
        <v>0</v>
      </c>
      <c r="BZ65" s="373">
        <v>0</v>
      </c>
      <c r="CA65" s="373">
        <v>0</v>
      </c>
      <c r="CB65" s="373">
        <v>0</v>
      </c>
      <c r="CC65" s="373">
        <v>0</v>
      </c>
      <c r="CD65" s="373">
        <v>0</v>
      </c>
      <c r="CE65" s="373">
        <v>0</v>
      </c>
      <c r="CF65" s="373">
        <v>0</v>
      </c>
      <c r="CG65" s="373">
        <v>0</v>
      </c>
      <c r="CH65" s="373">
        <v>0</v>
      </c>
      <c r="CI65" s="373">
        <v>0</v>
      </c>
      <c r="CJ65" s="373">
        <v>0</v>
      </c>
      <c r="CK65" s="373">
        <v>0</v>
      </c>
      <c r="CL65" s="373">
        <v>0</v>
      </c>
      <c r="CM65" s="373">
        <v>0</v>
      </c>
      <c r="CN65" s="373">
        <v>0</v>
      </c>
      <c r="CO65" s="373">
        <v>0</v>
      </c>
      <c r="CP65" s="373">
        <v>0</v>
      </c>
      <c r="CQ65" s="373">
        <v>0</v>
      </c>
      <c r="CR65" s="373">
        <v>0</v>
      </c>
      <c r="CS65" s="373">
        <v>0</v>
      </c>
      <c r="CT65" s="373">
        <v>0</v>
      </c>
      <c r="CU65" s="373">
        <v>0</v>
      </c>
      <c r="CV65" s="373">
        <v>0</v>
      </c>
      <c r="CW65" s="373">
        <v>0</v>
      </c>
      <c r="CX65" s="373">
        <v>0</v>
      </c>
      <c r="CY65" s="373">
        <v>0</v>
      </c>
      <c r="CZ65" s="373">
        <v>0</v>
      </c>
      <c r="DA65" s="373">
        <v>0</v>
      </c>
      <c r="DB65" s="373">
        <v>0</v>
      </c>
      <c r="DC65" s="373">
        <v>0</v>
      </c>
      <c r="DD65" s="373">
        <v>0</v>
      </c>
      <c r="DE65" s="373">
        <v>0</v>
      </c>
      <c r="DF65" s="373">
        <v>0</v>
      </c>
      <c r="DG65" s="373">
        <v>0</v>
      </c>
      <c r="DH65" s="373">
        <v>0</v>
      </c>
      <c r="DI65" s="373">
        <v>0</v>
      </c>
      <c r="DJ65" s="373">
        <v>0</v>
      </c>
      <c r="DK65" s="373">
        <v>0</v>
      </c>
      <c r="DL65" s="373">
        <v>0</v>
      </c>
      <c r="DM65" s="373">
        <v>0</v>
      </c>
      <c r="DN65" s="373">
        <v>0</v>
      </c>
      <c r="DO65" s="373">
        <v>0</v>
      </c>
      <c r="DP65" s="373">
        <v>0</v>
      </c>
      <c r="DQ65" s="373">
        <v>0</v>
      </c>
      <c r="DR65" s="373">
        <v>0</v>
      </c>
      <c r="DS65" s="365">
        <v>0</v>
      </c>
      <c r="DT65" s="374">
        <f t="shared" si="44"/>
        <v>82990.306000000011</v>
      </c>
      <c r="DU65" s="375">
        <f t="shared" si="45"/>
        <v>0</v>
      </c>
      <c r="DV65" s="376"/>
      <c r="DW65" s="138" t="b">
        <f t="shared" si="46"/>
        <v>1</v>
      </c>
    </row>
    <row r="66" spans="1:127" s="138" customFormat="1" ht="11.25" customHeight="1">
      <c r="A66" s="173" t="s">
        <v>407</v>
      </c>
      <c r="B66" s="170"/>
      <c r="C66" s="171" t="s">
        <v>280</v>
      </c>
      <c r="D66" s="171"/>
      <c r="E66" s="365">
        <f t="shared" si="48"/>
        <v>74.010000000000005</v>
      </c>
      <c r="F66" s="365">
        <f t="shared" si="49"/>
        <v>1.08</v>
      </c>
      <c r="G66" s="365">
        <f t="shared" si="36"/>
        <v>75.09</v>
      </c>
      <c r="H66" s="365">
        <f t="shared" si="50"/>
        <v>9.06</v>
      </c>
      <c r="I66" s="365">
        <f t="shared" si="47"/>
        <v>149.1</v>
      </c>
      <c r="J66" s="366">
        <f t="shared" si="37"/>
        <v>1350.846</v>
      </c>
      <c r="K66" s="380" t="s">
        <v>408</v>
      </c>
      <c r="L66" s="378" t="s">
        <v>320</v>
      </c>
      <c r="M66" s="365">
        <v>7000</v>
      </c>
      <c r="N66" s="379">
        <f t="shared" si="51"/>
        <v>994</v>
      </c>
      <c r="O66" s="381">
        <f t="shared" si="38"/>
        <v>82990.306000000011</v>
      </c>
      <c r="P66" s="370">
        <f t="shared" si="39"/>
        <v>1105.2111599414038</v>
      </c>
      <c r="Q66" s="172">
        <v>0.01</v>
      </c>
      <c r="R66" s="371">
        <f t="shared" si="40"/>
        <v>829.9030600000001</v>
      </c>
      <c r="S66" s="172">
        <v>0.04</v>
      </c>
      <c r="T66" s="371">
        <f t="shared" si="41"/>
        <v>3319.6122400000004</v>
      </c>
      <c r="U66" s="372">
        <f t="shared" si="42"/>
        <v>5</v>
      </c>
      <c r="V66" s="172">
        <v>0.95</v>
      </c>
      <c r="W66" s="371">
        <f t="shared" si="43"/>
        <v>78840.790700000012</v>
      </c>
      <c r="X66" s="373"/>
      <c r="Y66" s="373"/>
      <c r="Z66" s="373"/>
      <c r="AA66" s="373"/>
      <c r="AB66" s="373"/>
      <c r="AC66" s="373"/>
      <c r="AD66" s="373"/>
      <c r="AE66" s="373"/>
      <c r="AF66" s="373"/>
      <c r="AG66" s="373">
        <f>+$R66</f>
        <v>829.9030600000001</v>
      </c>
      <c r="AH66" s="373">
        <f>+$T66/5</f>
        <v>663.92244800000003</v>
      </c>
      <c r="AI66" s="373">
        <f>+AH66</f>
        <v>663.92244800000003</v>
      </c>
      <c r="AJ66" s="373">
        <f>+AI66</f>
        <v>663.92244800000003</v>
      </c>
      <c r="AK66" s="373">
        <f>+AJ66</f>
        <v>663.92244800000003</v>
      </c>
      <c r="AL66" s="373">
        <f>+AK66</f>
        <v>663.92244800000003</v>
      </c>
      <c r="AM66" s="373">
        <f>+$W66</f>
        <v>78840.790700000012</v>
      </c>
      <c r="AN66" s="373">
        <v>0</v>
      </c>
      <c r="AO66" s="373">
        <v>0</v>
      </c>
      <c r="AP66" s="373">
        <v>0</v>
      </c>
      <c r="AQ66" s="373">
        <v>0</v>
      </c>
      <c r="AR66" s="373">
        <v>0</v>
      </c>
      <c r="AS66" s="373">
        <v>0</v>
      </c>
      <c r="AT66" s="373">
        <v>0</v>
      </c>
      <c r="AU66" s="373">
        <v>0</v>
      </c>
      <c r="AV66" s="373">
        <v>0</v>
      </c>
      <c r="AW66" s="373">
        <v>0</v>
      </c>
      <c r="AX66" s="373">
        <v>0</v>
      </c>
      <c r="AY66" s="373">
        <v>0</v>
      </c>
      <c r="AZ66" s="373">
        <v>0</v>
      </c>
      <c r="BA66" s="373">
        <v>0</v>
      </c>
      <c r="BB66" s="373">
        <v>0</v>
      </c>
      <c r="BC66" s="373">
        <v>0</v>
      </c>
      <c r="BD66" s="373">
        <v>0</v>
      </c>
      <c r="BE66" s="373">
        <v>0</v>
      </c>
      <c r="BF66" s="373">
        <v>0</v>
      </c>
      <c r="BG66" s="373">
        <v>0</v>
      </c>
      <c r="BH66" s="373">
        <v>0</v>
      </c>
      <c r="BI66" s="373">
        <v>0</v>
      </c>
      <c r="BJ66" s="373">
        <v>0</v>
      </c>
      <c r="BK66" s="373">
        <v>0</v>
      </c>
      <c r="BL66" s="373">
        <v>0</v>
      </c>
      <c r="BM66" s="373">
        <v>0</v>
      </c>
      <c r="BN66" s="373">
        <v>0</v>
      </c>
      <c r="BO66" s="373">
        <v>0</v>
      </c>
      <c r="BP66" s="373">
        <v>0</v>
      </c>
      <c r="BQ66" s="373">
        <v>0</v>
      </c>
      <c r="BR66" s="373">
        <v>0</v>
      </c>
      <c r="BS66" s="373">
        <v>0</v>
      </c>
      <c r="BT66" s="373">
        <v>0</v>
      </c>
      <c r="BU66" s="373">
        <v>0</v>
      </c>
      <c r="BV66" s="373">
        <v>0</v>
      </c>
      <c r="BW66" s="373">
        <v>0</v>
      </c>
      <c r="BX66" s="373">
        <v>0</v>
      </c>
      <c r="BY66" s="373">
        <v>0</v>
      </c>
      <c r="BZ66" s="373">
        <v>0</v>
      </c>
      <c r="CA66" s="373">
        <v>0</v>
      </c>
      <c r="CB66" s="373">
        <v>0</v>
      </c>
      <c r="CC66" s="373">
        <v>0</v>
      </c>
      <c r="CD66" s="373">
        <v>0</v>
      </c>
      <c r="CE66" s="373">
        <v>0</v>
      </c>
      <c r="CF66" s="373">
        <v>0</v>
      </c>
      <c r="CG66" s="373">
        <v>0</v>
      </c>
      <c r="CH66" s="373">
        <v>0</v>
      </c>
      <c r="CI66" s="373">
        <v>0</v>
      </c>
      <c r="CJ66" s="373">
        <v>0</v>
      </c>
      <c r="CK66" s="373">
        <v>0</v>
      </c>
      <c r="CL66" s="373">
        <v>0</v>
      </c>
      <c r="CM66" s="373">
        <v>0</v>
      </c>
      <c r="CN66" s="373">
        <v>0</v>
      </c>
      <c r="CO66" s="373">
        <v>0</v>
      </c>
      <c r="CP66" s="373">
        <v>0</v>
      </c>
      <c r="CQ66" s="373">
        <v>0</v>
      </c>
      <c r="CR66" s="373">
        <v>0</v>
      </c>
      <c r="CS66" s="373">
        <v>0</v>
      </c>
      <c r="CT66" s="373">
        <v>0</v>
      </c>
      <c r="CU66" s="373">
        <v>0</v>
      </c>
      <c r="CV66" s="373">
        <v>0</v>
      </c>
      <c r="CW66" s="373">
        <v>0</v>
      </c>
      <c r="CX66" s="373">
        <v>0</v>
      </c>
      <c r="CY66" s="373">
        <v>0</v>
      </c>
      <c r="CZ66" s="373">
        <v>0</v>
      </c>
      <c r="DA66" s="373">
        <v>0</v>
      </c>
      <c r="DB66" s="373">
        <v>0</v>
      </c>
      <c r="DC66" s="373">
        <v>0</v>
      </c>
      <c r="DD66" s="373">
        <v>0</v>
      </c>
      <c r="DE66" s="373">
        <v>0</v>
      </c>
      <c r="DF66" s="373">
        <v>0</v>
      </c>
      <c r="DG66" s="373">
        <v>0</v>
      </c>
      <c r="DH66" s="373">
        <v>0</v>
      </c>
      <c r="DI66" s="373">
        <v>0</v>
      </c>
      <c r="DJ66" s="373">
        <v>0</v>
      </c>
      <c r="DK66" s="373">
        <v>0</v>
      </c>
      <c r="DL66" s="373">
        <v>0</v>
      </c>
      <c r="DM66" s="373">
        <v>0</v>
      </c>
      <c r="DN66" s="373">
        <v>0</v>
      </c>
      <c r="DO66" s="373">
        <v>0</v>
      </c>
      <c r="DP66" s="373">
        <v>0</v>
      </c>
      <c r="DQ66" s="373">
        <v>0</v>
      </c>
      <c r="DR66" s="373">
        <v>0</v>
      </c>
      <c r="DS66" s="365">
        <v>0</v>
      </c>
      <c r="DT66" s="374">
        <f t="shared" si="44"/>
        <v>82990.306000000011</v>
      </c>
      <c r="DU66" s="375">
        <f t="shared" si="45"/>
        <v>0</v>
      </c>
      <c r="DV66" s="376"/>
      <c r="DW66" s="138" t="b">
        <f t="shared" si="46"/>
        <v>1</v>
      </c>
    </row>
    <row r="67" spans="1:127" s="138" customFormat="1" ht="12" customHeight="1">
      <c r="A67" s="173" t="s">
        <v>409</v>
      </c>
      <c r="B67" s="170"/>
      <c r="C67" s="171" t="s">
        <v>280</v>
      </c>
      <c r="D67" s="171"/>
      <c r="E67" s="365">
        <f t="shared" si="48"/>
        <v>74.010000000000005</v>
      </c>
      <c r="F67" s="365">
        <f t="shared" si="49"/>
        <v>1.08</v>
      </c>
      <c r="G67" s="365">
        <f t="shared" si="36"/>
        <v>75.09</v>
      </c>
      <c r="H67" s="365">
        <f t="shared" si="50"/>
        <v>9.06</v>
      </c>
      <c r="I67" s="365">
        <f t="shared" si="47"/>
        <v>149.1</v>
      </c>
      <c r="J67" s="366">
        <f t="shared" si="37"/>
        <v>1350.846</v>
      </c>
      <c r="K67" s="380" t="s">
        <v>410</v>
      </c>
      <c r="L67" s="378" t="s">
        <v>320</v>
      </c>
      <c r="M67" s="365">
        <v>7000</v>
      </c>
      <c r="N67" s="379">
        <f t="shared" si="51"/>
        <v>994</v>
      </c>
      <c r="O67" s="381">
        <f t="shared" si="38"/>
        <v>82990.306000000011</v>
      </c>
      <c r="P67" s="370">
        <f t="shared" si="39"/>
        <v>1105.2111599414038</v>
      </c>
      <c r="Q67" s="172">
        <v>0.01</v>
      </c>
      <c r="R67" s="371">
        <f t="shared" si="40"/>
        <v>829.9030600000001</v>
      </c>
      <c r="S67" s="172">
        <v>0.04</v>
      </c>
      <c r="T67" s="371">
        <f t="shared" si="41"/>
        <v>3319.6122400000004</v>
      </c>
      <c r="U67" s="372">
        <f t="shared" si="42"/>
        <v>3</v>
      </c>
      <c r="V67" s="172">
        <v>0.95</v>
      </c>
      <c r="W67" s="371">
        <f t="shared" si="43"/>
        <v>78840.790700000012</v>
      </c>
      <c r="X67" s="373"/>
      <c r="Y67" s="373"/>
      <c r="Z67" s="373"/>
      <c r="AA67" s="373"/>
      <c r="AB67" s="373"/>
      <c r="AC67" s="373"/>
      <c r="AD67" s="373"/>
      <c r="AE67" s="373"/>
      <c r="AF67" s="373"/>
      <c r="AG67" s="373">
        <f>+$R67</f>
        <v>829.9030600000001</v>
      </c>
      <c r="AH67" s="373">
        <f>+$T67/3</f>
        <v>1106.5374133333335</v>
      </c>
      <c r="AI67" s="373">
        <f>+AH67</f>
        <v>1106.5374133333335</v>
      </c>
      <c r="AJ67" s="373">
        <f>+AI67</f>
        <v>1106.5374133333335</v>
      </c>
      <c r="AK67" s="373">
        <f>+$W67</f>
        <v>78840.790700000012</v>
      </c>
      <c r="AL67" s="373">
        <v>0</v>
      </c>
      <c r="AM67" s="373">
        <v>0</v>
      </c>
      <c r="AN67" s="373">
        <v>0</v>
      </c>
      <c r="AO67" s="373">
        <v>0</v>
      </c>
      <c r="AP67" s="373">
        <v>0</v>
      </c>
      <c r="AQ67" s="373">
        <v>0</v>
      </c>
      <c r="AR67" s="373">
        <v>0</v>
      </c>
      <c r="AS67" s="373">
        <v>0</v>
      </c>
      <c r="AT67" s="373">
        <v>0</v>
      </c>
      <c r="AU67" s="373">
        <v>0</v>
      </c>
      <c r="AV67" s="373">
        <v>0</v>
      </c>
      <c r="AW67" s="373">
        <v>0</v>
      </c>
      <c r="AX67" s="373">
        <v>0</v>
      </c>
      <c r="AY67" s="373">
        <v>0</v>
      </c>
      <c r="AZ67" s="373">
        <v>0</v>
      </c>
      <c r="BA67" s="373">
        <v>0</v>
      </c>
      <c r="BB67" s="373">
        <v>0</v>
      </c>
      <c r="BC67" s="373">
        <v>0</v>
      </c>
      <c r="BD67" s="373">
        <v>0</v>
      </c>
      <c r="BE67" s="373">
        <v>0</v>
      </c>
      <c r="BF67" s="373">
        <v>0</v>
      </c>
      <c r="BG67" s="373">
        <v>0</v>
      </c>
      <c r="BH67" s="373">
        <v>0</v>
      </c>
      <c r="BI67" s="373">
        <v>0</v>
      </c>
      <c r="BJ67" s="373">
        <v>0</v>
      </c>
      <c r="BK67" s="373">
        <v>0</v>
      </c>
      <c r="BL67" s="373">
        <v>0</v>
      </c>
      <c r="BM67" s="373">
        <v>0</v>
      </c>
      <c r="BN67" s="373">
        <v>0</v>
      </c>
      <c r="BO67" s="373">
        <v>0</v>
      </c>
      <c r="BP67" s="373">
        <v>0</v>
      </c>
      <c r="BQ67" s="373">
        <v>0</v>
      </c>
      <c r="BR67" s="373">
        <v>0</v>
      </c>
      <c r="BS67" s="373">
        <v>0</v>
      </c>
      <c r="BT67" s="373">
        <v>0</v>
      </c>
      <c r="BU67" s="373">
        <v>0</v>
      </c>
      <c r="BV67" s="373">
        <v>0</v>
      </c>
      <c r="BW67" s="373">
        <v>0</v>
      </c>
      <c r="BX67" s="373">
        <v>0</v>
      </c>
      <c r="BY67" s="373">
        <v>0</v>
      </c>
      <c r="BZ67" s="373">
        <v>0</v>
      </c>
      <c r="CA67" s="373">
        <v>0</v>
      </c>
      <c r="CB67" s="373">
        <v>0</v>
      </c>
      <c r="CC67" s="373">
        <v>0</v>
      </c>
      <c r="CD67" s="373">
        <v>0</v>
      </c>
      <c r="CE67" s="373">
        <v>0</v>
      </c>
      <c r="CF67" s="373">
        <v>0</v>
      </c>
      <c r="CG67" s="373">
        <v>0</v>
      </c>
      <c r="CH67" s="373">
        <v>0</v>
      </c>
      <c r="CI67" s="373">
        <v>0</v>
      </c>
      <c r="CJ67" s="373">
        <v>0</v>
      </c>
      <c r="CK67" s="373">
        <v>0</v>
      </c>
      <c r="CL67" s="373">
        <v>0</v>
      </c>
      <c r="CM67" s="373">
        <v>0</v>
      </c>
      <c r="CN67" s="373">
        <v>0</v>
      </c>
      <c r="CO67" s="373">
        <v>0</v>
      </c>
      <c r="CP67" s="373">
        <v>0</v>
      </c>
      <c r="CQ67" s="373">
        <v>0</v>
      </c>
      <c r="CR67" s="373">
        <v>0</v>
      </c>
      <c r="CS67" s="373">
        <v>0</v>
      </c>
      <c r="CT67" s="373">
        <v>0</v>
      </c>
      <c r="CU67" s="373">
        <v>0</v>
      </c>
      <c r="CV67" s="373">
        <v>0</v>
      </c>
      <c r="CW67" s="373">
        <v>0</v>
      </c>
      <c r="CX67" s="373">
        <v>0</v>
      </c>
      <c r="CY67" s="373">
        <v>0</v>
      </c>
      <c r="CZ67" s="373">
        <v>0</v>
      </c>
      <c r="DA67" s="373">
        <v>0</v>
      </c>
      <c r="DB67" s="373">
        <v>0</v>
      </c>
      <c r="DC67" s="373">
        <v>0</v>
      </c>
      <c r="DD67" s="373">
        <v>0</v>
      </c>
      <c r="DE67" s="373">
        <v>0</v>
      </c>
      <c r="DF67" s="373">
        <v>0</v>
      </c>
      <c r="DG67" s="373">
        <v>0</v>
      </c>
      <c r="DH67" s="373">
        <v>0</v>
      </c>
      <c r="DI67" s="373">
        <v>0</v>
      </c>
      <c r="DJ67" s="373">
        <v>0</v>
      </c>
      <c r="DK67" s="373">
        <v>0</v>
      </c>
      <c r="DL67" s="373">
        <v>0</v>
      </c>
      <c r="DM67" s="373">
        <v>0</v>
      </c>
      <c r="DN67" s="373">
        <v>0</v>
      </c>
      <c r="DO67" s="373">
        <v>0</v>
      </c>
      <c r="DP67" s="373">
        <v>0</v>
      </c>
      <c r="DQ67" s="373">
        <v>0</v>
      </c>
      <c r="DR67" s="373">
        <v>0</v>
      </c>
      <c r="DS67" s="365">
        <v>0</v>
      </c>
      <c r="DT67" s="374">
        <f t="shared" si="44"/>
        <v>82990.306000000011</v>
      </c>
      <c r="DU67" s="375">
        <f t="shared" si="45"/>
        <v>0</v>
      </c>
      <c r="DV67" s="376"/>
      <c r="DW67" s="138" t="b">
        <f t="shared" si="46"/>
        <v>1</v>
      </c>
    </row>
    <row r="68" spans="1:127" s="138" customFormat="1" ht="12" customHeight="1">
      <c r="A68" s="173" t="s">
        <v>411</v>
      </c>
      <c r="B68" s="170"/>
      <c r="C68" s="171" t="s">
        <v>280</v>
      </c>
      <c r="D68" s="171"/>
      <c r="E68" s="365">
        <f t="shared" si="48"/>
        <v>74.010000000000005</v>
      </c>
      <c r="F68" s="365">
        <f t="shared" si="49"/>
        <v>1.08</v>
      </c>
      <c r="G68" s="365">
        <f t="shared" si="36"/>
        <v>75.09</v>
      </c>
      <c r="H68" s="365">
        <f t="shared" si="50"/>
        <v>9.06</v>
      </c>
      <c r="I68" s="365">
        <f t="shared" si="47"/>
        <v>149.1</v>
      </c>
      <c r="J68" s="366">
        <f t="shared" si="37"/>
        <v>1350.846</v>
      </c>
      <c r="K68" s="380" t="s">
        <v>412</v>
      </c>
      <c r="L68" s="378" t="s">
        <v>320</v>
      </c>
      <c r="M68" s="365">
        <v>7000</v>
      </c>
      <c r="N68" s="379">
        <f t="shared" si="51"/>
        <v>994</v>
      </c>
      <c r="O68" s="381">
        <f t="shared" si="38"/>
        <v>82990.306000000011</v>
      </c>
      <c r="P68" s="370">
        <f t="shared" si="39"/>
        <v>1105.2111599414038</v>
      </c>
      <c r="Q68" s="172">
        <v>0.01</v>
      </c>
      <c r="R68" s="371">
        <f t="shared" si="40"/>
        <v>829.9030600000001</v>
      </c>
      <c r="S68" s="172">
        <v>0.04</v>
      </c>
      <c r="T68" s="371">
        <f t="shared" si="41"/>
        <v>3319.6122400000004</v>
      </c>
      <c r="U68" s="372">
        <f t="shared" si="42"/>
        <v>5</v>
      </c>
      <c r="V68" s="172">
        <v>0.95</v>
      </c>
      <c r="W68" s="371">
        <f t="shared" si="43"/>
        <v>78840.790700000012</v>
      </c>
      <c r="X68" s="373"/>
      <c r="Y68" s="373"/>
      <c r="Z68" s="373"/>
      <c r="AA68" s="373"/>
      <c r="AB68" s="373"/>
      <c r="AC68" s="373"/>
      <c r="AD68" s="373"/>
      <c r="AE68" s="373"/>
      <c r="AF68" s="373"/>
      <c r="AH68" s="373">
        <f>+$R68</f>
        <v>829.9030600000001</v>
      </c>
      <c r="AI68" s="373">
        <f>+$T68/5</f>
        <v>663.92244800000003</v>
      </c>
      <c r="AJ68" s="373">
        <f>+AI68</f>
        <v>663.92244800000003</v>
      </c>
      <c r="AK68" s="373">
        <f>+AJ68</f>
        <v>663.92244800000003</v>
      </c>
      <c r="AL68" s="373">
        <f>+AK68</f>
        <v>663.92244800000003</v>
      </c>
      <c r="AM68" s="373">
        <f>+AL68</f>
        <v>663.92244800000003</v>
      </c>
      <c r="AN68" s="373">
        <f>+$W68</f>
        <v>78840.790700000012</v>
      </c>
      <c r="AO68" s="373">
        <v>0</v>
      </c>
      <c r="AP68" s="373">
        <v>0</v>
      </c>
      <c r="AQ68" s="373">
        <v>0</v>
      </c>
      <c r="AR68" s="373">
        <v>0</v>
      </c>
      <c r="AS68" s="373">
        <v>0</v>
      </c>
      <c r="AT68" s="373">
        <v>0</v>
      </c>
      <c r="AU68" s="373">
        <v>0</v>
      </c>
      <c r="AV68" s="373">
        <v>0</v>
      </c>
      <c r="AW68" s="373">
        <v>0</v>
      </c>
      <c r="AX68" s="373">
        <v>0</v>
      </c>
      <c r="AY68" s="373">
        <v>0</v>
      </c>
      <c r="AZ68" s="373">
        <v>0</v>
      </c>
      <c r="BA68" s="373">
        <v>0</v>
      </c>
      <c r="BB68" s="373">
        <v>0</v>
      </c>
      <c r="BC68" s="373">
        <v>0</v>
      </c>
      <c r="BD68" s="373">
        <v>0</v>
      </c>
      <c r="BE68" s="373">
        <v>0</v>
      </c>
      <c r="BF68" s="373">
        <v>0</v>
      </c>
      <c r="BG68" s="373">
        <v>0</v>
      </c>
      <c r="BH68" s="373">
        <v>0</v>
      </c>
      <c r="BI68" s="373">
        <v>0</v>
      </c>
      <c r="BJ68" s="373">
        <v>0</v>
      </c>
      <c r="BK68" s="373">
        <v>0</v>
      </c>
      <c r="BL68" s="373">
        <v>0</v>
      </c>
      <c r="BM68" s="373">
        <v>0</v>
      </c>
      <c r="BN68" s="373">
        <v>0</v>
      </c>
      <c r="BO68" s="373">
        <v>0</v>
      </c>
      <c r="BP68" s="373">
        <v>0</v>
      </c>
      <c r="BQ68" s="373">
        <v>0</v>
      </c>
      <c r="BR68" s="373">
        <v>0</v>
      </c>
      <c r="BS68" s="373">
        <v>0</v>
      </c>
      <c r="BT68" s="373">
        <v>0</v>
      </c>
      <c r="BU68" s="373">
        <v>0</v>
      </c>
      <c r="BV68" s="373">
        <v>0</v>
      </c>
      <c r="BW68" s="373">
        <v>0</v>
      </c>
      <c r="BX68" s="373">
        <v>0</v>
      </c>
      <c r="BY68" s="373">
        <v>0</v>
      </c>
      <c r="BZ68" s="373">
        <v>0</v>
      </c>
      <c r="CA68" s="373">
        <v>0</v>
      </c>
      <c r="CB68" s="373">
        <v>0</v>
      </c>
      <c r="CC68" s="373">
        <v>0</v>
      </c>
      <c r="CD68" s="373">
        <v>0</v>
      </c>
      <c r="CE68" s="373">
        <v>0</v>
      </c>
      <c r="CF68" s="373">
        <v>0</v>
      </c>
      <c r="CG68" s="373">
        <v>0</v>
      </c>
      <c r="CH68" s="373">
        <v>0</v>
      </c>
      <c r="CI68" s="373">
        <v>0</v>
      </c>
      <c r="CJ68" s="373">
        <v>0</v>
      </c>
      <c r="CK68" s="373">
        <v>0</v>
      </c>
      <c r="CL68" s="373">
        <v>0</v>
      </c>
      <c r="CM68" s="373">
        <v>0</v>
      </c>
      <c r="CN68" s="373">
        <v>0</v>
      </c>
      <c r="CO68" s="373">
        <v>0</v>
      </c>
      <c r="CP68" s="373">
        <v>0</v>
      </c>
      <c r="CQ68" s="373">
        <v>0</v>
      </c>
      <c r="CR68" s="373">
        <v>0</v>
      </c>
      <c r="CS68" s="373">
        <v>0</v>
      </c>
      <c r="CT68" s="373">
        <v>0</v>
      </c>
      <c r="CU68" s="373">
        <v>0</v>
      </c>
      <c r="CV68" s="373">
        <v>0</v>
      </c>
      <c r="CW68" s="373">
        <v>0</v>
      </c>
      <c r="CX68" s="373">
        <v>0</v>
      </c>
      <c r="CY68" s="373">
        <v>0</v>
      </c>
      <c r="CZ68" s="373">
        <v>0</v>
      </c>
      <c r="DA68" s="373">
        <v>0</v>
      </c>
      <c r="DB68" s="373">
        <v>0</v>
      </c>
      <c r="DC68" s="373">
        <v>0</v>
      </c>
      <c r="DD68" s="373">
        <v>0</v>
      </c>
      <c r="DE68" s="373">
        <v>0</v>
      </c>
      <c r="DF68" s="373">
        <v>0</v>
      </c>
      <c r="DG68" s="373">
        <v>0</v>
      </c>
      <c r="DH68" s="373">
        <v>0</v>
      </c>
      <c r="DI68" s="373">
        <v>0</v>
      </c>
      <c r="DJ68" s="373">
        <v>0</v>
      </c>
      <c r="DK68" s="373">
        <v>0</v>
      </c>
      <c r="DL68" s="373">
        <v>0</v>
      </c>
      <c r="DM68" s="373">
        <v>0</v>
      </c>
      <c r="DN68" s="373">
        <v>0</v>
      </c>
      <c r="DO68" s="373">
        <v>0</v>
      </c>
      <c r="DP68" s="373">
        <v>0</v>
      </c>
      <c r="DQ68" s="373">
        <v>0</v>
      </c>
      <c r="DR68" s="373">
        <v>0</v>
      </c>
      <c r="DS68" s="365">
        <v>0</v>
      </c>
      <c r="DT68" s="374">
        <f t="shared" si="44"/>
        <v>82990.306000000011</v>
      </c>
      <c r="DU68" s="375">
        <f t="shared" si="45"/>
        <v>0</v>
      </c>
      <c r="DV68" s="376"/>
      <c r="DW68" s="138" t="b">
        <f t="shared" si="46"/>
        <v>1</v>
      </c>
    </row>
    <row r="69" spans="1:127" s="138" customFormat="1" ht="12" customHeight="1">
      <c r="A69" s="169" t="s">
        <v>413</v>
      </c>
      <c r="B69" s="170"/>
      <c r="C69" s="171" t="s">
        <v>282</v>
      </c>
      <c r="D69" s="171"/>
      <c r="E69" s="384">
        <v>64.61</v>
      </c>
      <c r="F69" s="384">
        <v>0</v>
      </c>
      <c r="G69" s="365">
        <f t="shared" ref="G69:G116" si="52">E69+F69</f>
        <v>64.61</v>
      </c>
      <c r="H69" s="384">
        <v>0</v>
      </c>
      <c r="I69" s="365">
        <f t="shared" si="47"/>
        <v>149.1</v>
      </c>
      <c r="J69" s="366">
        <f t="shared" si="37"/>
        <v>0</v>
      </c>
      <c r="K69" s="378" t="s">
        <v>414</v>
      </c>
      <c r="L69" s="378" t="s">
        <v>329</v>
      </c>
      <c r="M69" s="365">
        <v>5000</v>
      </c>
      <c r="N69" s="384">
        <v>945</v>
      </c>
      <c r="O69" s="385">
        <f t="shared" si="38"/>
        <v>66056.45</v>
      </c>
      <c r="P69" s="370">
        <f t="shared" si="39"/>
        <v>1022.3874013310633</v>
      </c>
      <c r="Q69" s="172">
        <v>0.01</v>
      </c>
      <c r="R69" s="371">
        <f t="shared" si="40"/>
        <v>660.56449999999995</v>
      </c>
      <c r="S69" s="172">
        <v>0.04</v>
      </c>
      <c r="T69" s="371">
        <f t="shared" si="41"/>
        <v>2642.2579999999998</v>
      </c>
      <c r="U69" s="372">
        <f t="shared" si="42"/>
        <v>5</v>
      </c>
      <c r="V69" s="172">
        <v>0.95</v>
      </c>
      <c r="W69" s="371">
        <f t="shared" si="43"/>
        <v>62753.627499999995</v>
      </c>
      <c r="X69" s="373"/>
      <c r="Y69" s="386">
        <f>+$R69</f>
        <v>660.56449999999995</v>
      </c>
      <c r="Z69" s="373">
        <f>+$T69/5</f>
        <v>528.45159999999998</v>
      </c>
      <c r="AA69" s="373">
        <f>+Z69</f>
        <v>528.45159999999998</v>
      </c>
      <c r="AB69" s="373">
        <f>+AA69</f>
        <v>528.45159999999998</v>
      </c>
      <c r="AC69" s="373">
        <f>+AB69</f>
        <v>528.45159999999998</v>
      </c>
      <c r="AD69" s="373">
        <f>+AC69</f>
        <v>528.45159999999998</v>
      </c>
      <c r="AE69" s="373">
        <f>+$W69</f>
        <v>62753.627499999995</v>
      </c>
      <c r="AF69" s="373">
        <v>0</v>
      </c>
      <c r="AG69" s="373">
        <v>0</v>
      </c>
      <c r="AH69" s="373">
        <v>0</v>
      </c>
      <c r="AI69" s="373">
        <v>0</v>
      </c>
      <c r="AJ69" s="373">
        <v>0</v>
      </c>
      <c r="AK69" s="373">
        <v>0</v>
      </c>
      <c r="AL69" s="373">
        <v>0</v>
      </c>
      <c r="AM69" s="373">
        <v>0</v>
      </c>
      <c r="AN69" s="373">
        <v>0</v>
      </c>
      <c r="AO69" s="373">
        <v>0</v>
      </c>
      <c r="AP69" s="373">
        <v>0</v>
      </c>
      <c r="AQ69" s="373">
        <v>0</v>
      </c>
      <c r="AR69" s="373">
        <v>0</v>
      </c>
      <c r="AS69" s="373">
        <v>0</v>
      </c>
      <c r="AT69" s="373">
        <v>0</v>
      </c>
      <c r="AU69" s="373">
        <v>0</v>
      </c>
      <c r="AV69" s="373">
        <v>0</v>
      </c>
      <c r="AW69" s="373">
        <v>0</v>
      </c>
      <c r="AX69" s="373">
        <v>0</v>
      </c>
      <c r="AY69" s="373">
        <v>0</v>
      </c>
      <c r="AZ69" s="373">
        <v>0</v>
      </c>
      <c r="BA69" s="373">
        <v>0</v>
      </c>
      <c r="BB69" s="373">
        <v>0</v>
      </c>
      <c r="BC69" s="373">
        <v>0</v>
      </c>
      <c r="BD69" s="373">
        <v>0</v>
      </c>
      <c r="BE69" s="373">
        <v>0</v>
      </c>
      <c r="BF69" s="373">
        <v>0</v>
      </c>
      <c r="BG69" s="373">
        <v>0</v>
      </c>
      <c r="BH69" s="373">
        <v>0</v>
      </c>
      <c r="BI69" s="373">
        <v>0</v>
      </c>
      <c r="BJ69" s="373">
        <v>0</v>
      </c>
      <c r="BK69" s="373">
        <v>0</v>
      </c>
      <c r="BL69" s="373">
        <v>0</v>
      </c>
      <c r="BM69" s="373">
        <v>0</v>
      </c>
      <c r="BN69" s="373">
        <v>0</v>
      </c>
      <c r="BO69" s="373">
        <v>0</v>
      </c>
      <c r="BP69" s="373">
        <v>0</v>
      </c>
      <c r="BQ69" s="373">
        <v>0</v>
      </c>
      <c r="BR69" s="373">
        <v>0</v>
      </c>
      <c r="BS69" s="373">
        <v>0</v>
      </c>
      <c r="BT69" s="373">
        <v>0</v>
      </c>
      <c r="BU69" s="373">
        <v>0</v>
      </c>
      <c r="BV69" s="373">
        <v>0</v>
      </c>
      <c r="BW69" s="373">
        <v>0</v>
      </c>
      <c r="BX69" s="373">
        <v>0</v>
      </c>
      <c r="BY69" s="373">
        <v>0</v>
      </c>
      <c r="BZ69" s="373">
        <v>0</v>
      </c>
      <c r="CA69" s="373">
        <v>0</v>
      </c>
      <c r="CB69" s="373">
        <v>0</v>
      </c>
      <c r="CC69" s="373">
        <v>0</v>
      </c>
      <c r="CD69" s="373">
        <v>0</v>
      </c>
      <c r="CE69" s="373">
        <v>0</v>
      </c>
      <c r="CF69" s="373">
        <v>0</v>
      </c>
      <c r="CG69" s="373">
        <v>0</v>
      </c>
      <c r="CH69" s="373">
        <v>0</v>
      </c>
      <c r="CI69" s="373">
        <v>0</v>
      </c>
      <c r="CJ69" s="373">
        <v>0</v>
      </c>
      <c r="CK69" s="373">
        <v>0</v>
      </c>
      <c r="CL69" s="373">
        <v>0</v>
      </c>
      <c r="CM69" s="373">
        <v>0</v>
      </c>
      <c r="CN69" s="373">
        <v>0</v>
      </c>
      <c r="CO69" s="373">
        <v>0</v>
      </c>
      <c r="CP69" s="373">
        <v>0</v>
      </c>
      <c r="CQ69" s="373">
        <v>0</v>
      </c>
      <c r="CR69" s="373">
        <v>0</v>
      </c>
      <c r="CS69" s="365">
        <v>0</v>
      </c>
      <c r="CT69" s="373">
        <v>0</v>
      </c>
      <c r="CU69" s="373">
        <v>0</v>
      </c>
      <c r="CV69" s="373">
        <v>0</v>
      </c>
      <c r="CW69" s="373">
        <v>0</v>
      </c>
      <c r="CX69" s="373">
        <v>0</v>
      </c>
      <c r="CY69" s="373">
        <v>0</v>
      </c>
      <c r="CZ69" s="373">
        <v>0</v>
      </c>
      <c r="DA69" s="373">
        <v>0</v>
      </c>
      <c r="DB69" s="373">
        <v>0</v>
      </c>
      <c r="DC69" s="373">
        <v>0</v>
      </c>
      <c r="DD69" s="373">
        <v>0</v>
      </c>
      <c r="DE69" s="373">
        <v>0</v>
      </c>
      <c r="DF69" s="373">
        <v>0</v>
      </c>
      <c r="DG69" s="373">
        <v>0</v>
      </c>
      <c r="DH69" s="373">
        <v>0</v>
      </c>
      <c r="DI69" s="373">
        <v>0</v>
      </c>
      <c r="DJ69" s="373">
        <v>0</v>
      </c>
      <c r="DK69" s="373">
        <v>0</v>
      </c>
      <c r="DL69" s="373">
        <v>0</v>
      </c>
      <c r="DM69" s="373">
        <v>0</v>
      </c>
      <c r="DN69" s="373">
        <v>0</v>
      </c>
      <c r="DO69" s="373">
        <v>0</v>
      </c>
      <c r="DP69" s="373">
        <v>0</v>
      </c>
      <c r="DQ69" s="373">
        <v>0</v>
      </c>
      <c r="DR69" s="373">
        <v>0</v>
      </c>
      <c r="DS69" s="365">
        <v>0</v>
      </c>
      <c r="DT69" s="374">
        <f t="shared" si="44"/>
        <v>66056.45</v>
      </c>
      <c r="DU69" s="375">
        <f t="shared" si="45"/>
        <v>0</v>
      </c>
      <c r="DV69" s="376"/>
      <c r="DW69" s="138" t="b">
        <f t="shared" si="46"/>
        <v>1</v>
      </c>
    </row>
    <row r="70" spans="1:127" s="138" customFormat="1" ht="12" customHeight="1">
      <c r="A70" s="169" t="s">
        <v>415</v>
      </c>
      <c r="B70" s="170"/>
      <c r="C70" s="171" t="s">
        <v>282</v>
      </c>
      <c r="D70" s="171"/>
      <c r="E70" s="365">
        <f t="shared" ref="E70:E116" si="53">$E$69</f>
        <v>64.61</v>
      </c>
      <c r="F70" s="365">
        <f t="shared" ref="F70:F116" si="54">$F$69</f>
        <v>0</v>
      </c>
      <c r="G70" s="365">
        <f t="shared" si="52"/>
        <v>64.61</v>
      </c>
      <c r="H70" s="365">
        <f t="shared" ref="H70:H116" si="55">$H$69</f>
        <v>0</v>
      </c>
      <c r="I70" s="365">
        <f t="shared" si="47"/>
        <v>149.1</v>
      </c>
      <c r="J70" s="366">
        <f t="shared" si="37"/>
        <v>0</v>
      </c>
      <c r="K70" s="378" t="s">
        <v>416</v>
      </c>
      <c r="L70" s="378" t="s">
        <v>329</v>
      </c>
      <c r="M70" s="365">
        <v>5000</v>
      </c>
      <c r="N70" s="379">
        <f t="shared" ref="N70:N116" si="56">+$N$69</f>
        <v>945</v>
      </c>
      <c r="O70" s="385">
        <f t="shared" si="38"/>
        <v>66056.45</v>
      </c>
      <c r="P70" s="370">
        <f t="shared" si="39"/>
        <v>1022.3874013310633</v>
      </c>
      <c r="Q70" s="172">
        <v>0.01</v>
      </c>
      <c r="R70" s="371">
        <f t="shared" si="40"/>
        <v>660.56449999999995</v>
      </c>
      <c r="S70" s="172">
        <v>0.04</v>
      </c>
      <c r="T70" s="371">
        <f t="shared" si="41"/>
        <v>2642.2579999999998</v>
      </c>
      <c r="U70" s="372">
        <f t="shared" si="42"/>
        <v>3</v>
      </c>
      <c r="V70" s="172">
        <v>0.95</v>
      </c>
      <c r="W70" s="371">
        <f t="shared" si="43"/>
        <v>62753.627499999995</v>
      </c>
      <c r="X70" s="373"/>
      <c r="Y70" s="373"/>
      <c r="Z70" s="373">
        <f>+$R70</f>
        <v>660.56449999999995</v>
      </c>
      <c r="AA70" s="373">
        <f>+$T70/3</f>
        <v>880.75266666666664</v>
      </c>
      <c r="AB70" s="373">
        <f>+AA70</f>
        <v>880.75266666666664</v>
      </c>
      <c r="AC70" s="373">
        <f>+AB70</f>
        <v>880.75266666666664</v>
      </c>
      <c r="AD70" s="373">
        <f>+$W70</f>
        <v>62753.627499999995</v>
      </c>
      <c r="AE70" s="373">
        <v>0</v>
      </c>
      <c r="AF70" s="373">
        <v>0</v>
      </c>
      <c r="AG70" s="373">
        <v>0</v>
      </c>
      <c r="AH70" s="373">
        <v>0</v>
      </c>
      <c r="AI70" s="373">
        <v>0</v>
      </c>
      <c r="AJ70" s="373">
        <v>0</v>
      </c>
      <c r="AK70" s="373">
        <v>0</v>
      </c>
      <c r="AL70" s="373">
        <v>0</v>
      </c>
      <c r="AM70" s="373">
        <v>0</v>
      </c>
      <c r="AN70" s="373">
        <v>0</v>
      </c>
      <c r="AO70" s="373">
        <v>0</v>
      </c>
      <c r="AP70" s="373">
        <v>0</v>
      </c>
      <c r="AQ70" s="373">
        <v>0</v>
      </c>
      <c r="AR70" s="373">
        <v>0</v>
      </c>
      <c r="AS70" s="373">
        <v>0</v>
      </c>
      <c r="AT70" s="373">
        <v>0</v>
      </c>
      <c r="AU70" s="373">
        <v>0</v>
      </c>
      <c r="AV70" s="373">
        <v>0</v>
      </c>
      <c r="AW70" s="373">
        <v>0</v>
      </c>
      <c r="AX70" s="373">
        <v>0</v>
      </c>
      <c r="AY70" s="373">
        <v>0</v>
      </c>
      <c r="AZ70" s="373">
        <v>0</v>
      </c>
      <c r="BA70" s="373">
        <v>0</v>
      </c>
      <c r="BB70" s="373">
        <v>0</v>
      </c>
      <c r="BC70" s="373">
        <v>0</v>
      </c>
      <c r="BD70" s="373">
        <v>0</v>
      </c>
      <c r="BE70" s="373">
        <v>0</v>
      </c>
      <c r="BF70" s="373">
        <v>0</v>
      </c>
      <c r="BG70" s="373">
        <v>0</v>
      </c>
      <c r="BH70" s="373">
        <v>0</v>
      </c>
      <c r="BI70" s="373">
        <v>0</v>
      </c>
      <c r="BJ70" s="373">
        <v>0</v>
      </c>
      <c r="BK70" s="373">
        <v>0</v>
      </c>
      <c r="BL70" s="373">
        <v>0</v>
      </c>
      <c r="BM70" s="373">
        <v>0</v>
      </c>
      <c r="BN70" s="373">
        <v>0</v>
      </c>
      <c r="BO70" s="373">
        <v>0</v>
      </c>
      <c r="BP70" s="373">
        <v>0</v>
      </c>
      <c r="BQ70" s="373">
        <v>0</v>
      </c>
      <c r="BR70" s="373">
        <v>0</v>
      </c>
      <c r="BS70" s="373">
        <v>0</v>
      </c>
      <c r="BT70" s="373">
        <v>0</v>
      </c>
      <c r="BU70" s="373">
        <v>0</v>
      </c>
      <c r="BV70" s="373">
        <v>0</v>
      </c>
      <c r="BW70" s="373">
        <v>0</v>
      </c>
      <c r="BX70" s="373">
        <v>0</v>
      </c>
      <c r="BY70" s="373">
        <v>0</v>
      </c>
      <c r="BZ70" s="373">
        <v>0</v>
      </c>
      <c r="CA70" s="373">
        <v>0</v>
      </c>
      <c r="CB70" s="373">
        <v>0</v>
      </c>
      <c r="CC70" s="373">
        <v>0</v>
      </c>
      <c r="CD70" s="373">
        <v>0</v>
      </c>
      <c r="CE70" s="373">
        <v>0</v>
      </c>
      <c r="CF70" s="373">
        <v>0</v>
      </c>
      <c r="CG70" s="373">
        <v>0</v>
      </c>
      <c r="CH70" s="373">
        <v>0</v>
      </c>
      <c r="CI70" s="373">
        <v>0</v>
      </c>
      <c r="CJ70" s="373">
        <v>0</v>
      </c>
      <c r="CK70" s="373">
        <v>0</v>
      </c>
      <c r="CL70" s="373">
        <v>0</v>
      </c>
      <c r="CM70" s="373">
        <v>0</v>
      </c>
      <c r="CN70" s="373">
        <v>0</v>
      </c>
      <c r="CO70" s="373">
        <v>0</v>
      </c>
      <c r="CP70" s="373">
        <v>0</v>
      </c>
      <c r="CQ70" s="373">
        <v>0</v>
      </c>
      <c r="CR70" s="373">
        <v>0</v>
      </c>
      <c r="CS70" s="365">
        <v>0</v>
      </c>
      <c r="CT70" s="373">
        <v>0</v>
      </c>
      <c r="CU70" s="373">
        <v>0</v>
      </c>
      <c r="CV70" s="373">
        <v>0</v>
      </c>
      <c r="CW70" s="373">
        <v>0</v>
      </c>
      <c r="CX70" s="373">
        <v>0</v>
      </c>
      <c r="CY70" s="373">
        <v>0</v>
      </c>
      <c r="CZ70" s="373">
        <v>0</v>
      </c>
      <c r="DA70" s="373">
        <v>0</v>
      </c>
      <c r="DB70" s="373">
        <v>0</v>
      </c>
      <c r="DC70" s="373">
        <v>0</v>
      </c>
      <c r="DD70" s="373">
        <v>0</v>
      </c>
      <c r="DE70" s="373">
        <v>0</v>
      </c>
      <c r="DF70" s="373">
        <v>0</v>
      </c>
      <c r="DG70" s="373">
        <v>0</v>
      </c>
      <c r="DH70" s="373">
        <v>0</v>
      </c>
      <c r="DI70" s="373">
        <v>0</v>
      </c>
      <c r="DJ70" s="373">
        <v>0</v>
      </c>
      <c r="DK70" s="373">
        <v>0</v>
      </c>
      <c r="DL70" s="373">
        <v>0</v>
      </c>
      <c r="DM70" s="373">
        <v>0</v>
      </c>
      <c r="DN70" s="373">
        <v>0</v>
      </c>
      <c r="DO70" s="373">
        <v>0</v>
      </c>
      <c r="DP70" s="373">
        <v>0</v>
      </c>
      <c r="DQ70" s="373">
        <v>0</v>
      </c>
      <c r="DR70" s="373">
        <v>0</v>
      </c>
      <c r="DS70" s="365">
        <v>0</v>
      </c>
      <c r="DT70" s="374">
        <f t="shared" si="44"/>
        <v>66056.45</v>
      </c>
      <c r="DU70" s="375">
        <f t="shared" si="45"/>
        <v>0</v>
      </c>
      <c r="DV70" s="376"/>
      <c r="DW70" s="138" t="b">
        <f t="shared" si="46"/>
        <v>1</v>
      </c>
    </row>
    <row r="71" spans="1:127" s="138" customFormat="1" ht="12" customHeight="1">
      <c r="A71" s="169" t="s">
        <v>417</v>
      </c>
      <c r="B71" s="170"/>
      <c r="C71" s="171" t="s">
        <v>282</v>
      </c>
      <c r="D71" s="171"/>
      <c r="E71" s="365">
        <f t="shared" si="53"/>
        <v>64.61</v>
      </c>
      <c r="F71" s="365">
        <f t="shared" si="54"/>
        <v>0</v>
      </c>
      <c r="G71" s="365">
        <f t="shared" si="52"/>
        <v>64.61</v>
      </c>
      <c r="H71" s="365">
        <f t="shared" si="55"/>
        <v>0</v>
      </c>
      <c r="I71" s="365">
        <f t="shared" si="47"/>
        <v>149.1</v>
      </c>
      <c r="J71" s="366">
        <f t="shared" si="37"/>
        <v>0</v>
      </c>
      <c r="K71" s="378" t="s">
        <v>418</v>
      </c>
      <c r="L71" s="378" t="s">
        <v>329</v>
      </c>
      <c r="M71" s="365">
        <v>5000</v>
      </c>
      <c r="N71" s="379">
        <f t="shared" si="56"/>
        <v>945</v>
      </c>
      <c r="O71" s="385">
        <f t="shared" si="38"/>
        <v>66056.45</v>
      </c>
      <c r="P71" s="370">
        <f t="shared" si="39"/>
        <v>1022.3874013310633</v>
      </c>
      <c r="Q71" s="172">
        <v>0.01</v>
      </c>
      <c r="R71" s="371">
        <f t="shared" si="40"/>
        <v>660.56449999999995</v>
      </c>
      <c r="S71" s="172">
        <v>0.04</v>
      </c>
      <c r="T71" s="371">
        <f t="shared" si="41"/>
        <v>2642.2579999999998</v>
      </c>
      <c r="U71" s="372">
        <f t="shared" si="42"/>
        <v>1</v>
      </c>
      <c r="V71" s="172">
        <v>0.95</v>
      </c>
      <c r="W71" s="371">
        <f t="shared" si="43"/>
        <v>62753.627499999995</v>
      </c>
      <c r="X71" s="373"/>
      <c r="Y71" s="373"/>
      <c r="Z71" s="373">
        <f>+$R71</f>
        <v>660.56449999999995</v>
      </c>
      <c r="AA71" s="373">
        <f>+$T71/1</f>
        <v>2642.2579999999998</v>
      </c>
      <c r="AB71" s="373">
        <f>+$W71</f>
        <v>62753.627499999995</v>
      </c>
      <c r="AC71" s="373">
        <v>0</v>
      </c>
      <c r="AD71" s="373">
        <v>0</v>
      </c>
      <c r="AE71" s="373">
        <v>0</v>
      </c>
      <c r="AF71" s="373">
        <v>0</v>
      </c>
      <c r="AG71" s="373">
        <v>0</v>
      </c>
      <c r="AH71" s="373">
        <v>0</v>
      </c>
      <c r="AI71" s="373">
        <v>0</v>
      </c>
      <c r="AJ71" s="373">
        <v>0</v>
      </c>
      <c r="AK71" s="373">
        <v>0</v>
      </c>
      <c r="AL71" s="373">
        <v>0</v>
      </c>
      <c r="AM71" s="373">
        <v>0</v>
      </c>
      <c r="AN71" s="373">
        <v>0</v>
      </c>
      <c r="AO71" s="373">
        <v>0</v>
      </c>
      <c r="AP71" s="373">
        <v>0</v>
      </c>
      <c r="AQ71" s="373">
        <v>0</v>
      </c>
      <c r="AR71" s="373">
        <v>0</v>
      </c>
      <c r="AS71" s="373">
        <v>0</v>
      </c>
      <c r="AT71" s="373">
        <v>0</v>
      </c>
      <c r="AU71" s="373">
        <v>0</v>
      </c>
      <c r="AV71" s="373">
        <v>0</v>
      </c>
      <c r="AW71" s="373">
        <v>0</v>
      </c>
      <c r="AX71" s="373">
        <v>0</v>
      </c>
      <c r="AY71" s="373">
        <v>0</v>
      </c>
      <c r="AZ71" s="373">
        <v>0</v>
      </c>
      <c r="BA71" s="373">
        <v>0</v>
      </c>
      <c r="BB71" s="373">
        <v>0</v>
      </c>
      <c r="BC71" s="373">
        <v>0</v>
      </c>
      <c r="BD71" s="373">
        <v>0</v>
      </c>
      <c r="BE71" s="373">
        <v>0</v>
      </c>
      <c r="BF71" s="373">
        <v>0</v>
      </c>
      <c r="BG71" s="373">
        <v>0</v>
      </c>
      <c r="BH71" s="373">
        <v>0</v>
      </c>
      <c r="BI71" s="373">
        <v>0</v>
      </c>
      <c r="BJ71" s="373">
        <v>0</v>
      </c>
      <c r="BK71" s="373">
        <v>0</v>
      </c>
      <c r="BL71" s="373">
        <v>0</v>
      </c>
      <c r="BM71" s="373">
        <v>0</v>
      </c>
      <c r="BN71" s="373">
        <v>0</v>
      </c>
      <c r="BO71" s="373">
        <v>0</v>
      </c>
      <c r="BP71" s="373">
        <v>0</v>
      </c>
      <c r="BQ71" s="373">
        <v>0</v>
      </c>
      <c r="BR71" s="373">
        <v>0</v>
      </c>
      <c r="BS71" s="373">
        <v>0</v>
      </c>
      <c r="BT71" s="373">
        <v>0</v>
      </c>
      <c r="BU71" s="373">
        <v>0</v>
      </c>
      <c r="BV71" s="373">
        <v>0</v>
      </c>
      <c r="BW71" s="373">
        <v>0</v>
      </c>
      <c r="BX71" s="373">
        <v>0</v>
      </c>
      <c r="BY71" s="373">
        <v>0</v>
      </c>
      <c r="BZ71" s="373">
        <v>0</v>
      </c>
      <c r="CA71" s="373">
        <v>0</v>
      </c>
      <c r="CB71" s="373">
        <v>0</v>
      </c>
      <c r="CC71" s="373">
        <v>0</v>
      </c>
      <c r="CD71" s="373">
        <v>0</v>
      </c>
      <c r="CE71" s="373">
        <v>0</v>
      </c>
      <c r="CF71" s="373">
        <v>0</v>
      </c>
      <c r="CG71" s="373">
        <v>0</v>
      </c>
      <c r="CH71" s="373">
        <v>0</v>
      </c>
      <c r="CI71" s="373">
        <v>0</v>
      </c>
      <c r="CJ71" s="373">
        <v>0</v>
      </c>
      <c r="CK71" s="373">
        <v>0</v>
      </c>
      <c r="CL71" s="373">
        <v>0</v>
      </c>
      <c r="CM71" s="373">
        <v>0</v>
      </c>
      <c r="CN71" s="373">
        <v>0</v>
      </c>
      <c r="CO71" s="373">
        <v>0</v>
      </c>
      <c r="CP71" s="373">
        <v>0</v>
      </c>
      <c r="CQ71" s="373">
        <v>0</v>
      </c>
      <c r="CR71" s="373">
        <v>0</v>
      </c>
      <c r="CS71" s="365">
        <v>0</v>
      </c>
      <c r="CT71" s="373">
        <v>0</v>
      </c>
      <c r="CU71" s="373">
        <v>0</v>
      </c>
      <c r="CV71" s="373">
        <v>0</v>
      </c>
      <c r="CW71" s="373">
        <v>0</v>
      </c>
      <c r="CX71" s="373">
        <v>0</v>
      </c>
      <c r="CY71" s="373">
        <v>0</v>
      </c>
      <c r="CZ71" s="373">
        <v>0</v>
      </c>
      <c r="DA71" s="373">
        <v>0</v>
      </c>
      <c r="DB71" s="373">
        <v>0</v>
      </c>
      <c r="DC71" s="373">
        <v>0</v>
      </c>
      <c r="DD71" s="373">
        <v>0</v>
      </c>
      <c r="DE71" s="373">
        <v>0</v>
      </c>
      <c r="DF71" s="373">
        <v>0</v>
      </c>
      <c r="DG71" s="373">
        <v>0</v>
      </c>
      <c r="DH71" s="373">
        <v>0</v>
      </c>
      <c r="DI71" s="373">
        <v>0</v>
      </c>
      <c r="DJ71" s="373">
        <v>0</v>
      </c>
      <c r="DK71" s="373">
        <v>0</v>
      </c>
      <c r="DL71" s="373">
        <v>0</v>
      </c>
      <c r="DM71" s="373">
        <v>0</v>
      </c>
      <c r="DN71" s="373">
        <v>0</v>
      </c>
      <c r="DO71" s="373">
        <v>0</v>
      </c>
      <c r="DP71" s="373">
        <v>0</v>
      </c>
      <c r="DQ71" s="373">
        <v>0</v>
      </c>
      <c r="DR71" s="373">
        <v>0</v>
      </c>
      <c r="DS71" s="365">
        <v>0</v>
      </c>
      <c r="DT71" s="374">
        <f t="shared" si="44"/>
        <v>66056.45</v>
      </c>
      <c r="DU71" s="375">
        <f t="shared" si="45"/>
        <v>0</v>
      </c>
      <c r="DV71" s="376"/>
      <c r="DW71" s="138" t="b">
        <f t="shared" si="46"/>
        <v>1</v>
      </c>
    </row>
    <row r="72" spans="1:127" s="138" customFormat="1" ht="12" customHeight="1">
      <c r="A72" s="169" t="s">
        <v>419</v>
      </c>
      <c r="B72" s="170"/>
      <c r="C72" s="171" t="s">
        <v>282</v>
      </c>
      <c r="D72" s="171"/>
      <c r="E72" s="365">
        <f t="shared" si="53"/>
        <v>64.61</v>
      </c>
      <c r="F72" s="365">
        <f t="shared" si="54"/>
        <v>0</v>
      </c>
      <c r="G72" s="365">
        <f t="shared" si="52"/>
        <v>64.61</v>
      </c>
      <c r="H72" s="365">
        <f t="shared" si="55"/>
        <v>0</v>
      </c>
      <c r="I72" s="365">
        <f t="shared" si="47"/>
        <v>149.1</v>
      </c>
      <c r="J72" s="366">
        <f t="shared" si="37"/>
        <v>0</v>
      </c>
      <c r="K72" s="378" t="s">
        <v>420</v>
      </c>
      <c r="L72" s="378" t="s">
        <v>329</v>
      </c>
      <c r="M72" s="365">
        <v>5000</v>
      </c>
      <c r="N72" s="379">
        <f t="shared" si="56"/>
        <v>945</v>
      </c>
      <c r="O72" s="385">
        <f t="shared" si="38"/>
        <v>66056.45</v>
      </c>
      <c r="P72" s="370">
        <f t="shared" si="39"/>
        <v>1022.3874013310633</v>
      </c>
      <c r="Q72" s="172">
        <v>0.01</v>
      </c>
      <c r="R72" s="371">
        <f t="shared" si="40"/>
        <v>660.56449999999995</v>
      </c>
      <c r="S72" s="172">
        <v>0.04</v>
      </c>
      <c r="T72" s="371">
        <f t="shared" si="41"/>
        <v>2642.2579999999998</v>
      </c>
      <c r="U72" s="372">
        <f t="shared" si="42"/>
        <v>5</v>
      </c>
      <c r="V72" s="172">
        <v>0.95</v>
      </c>
      <c r="W72" s="371">
        <f t="shared" si="43"/>
        <v>62753.627499999995</v>
      </c>
      <c r="X72" s="373"/>
      <c r="Y72" s="373"/>
      <c r="Z72" s="373"/>
      <c r="AA72" s="373">
        <f>+$R72</f>
        <v>660.56449999999995</v>
      </c>
      <c r="AB72" s="373">
        <f>+$T72/5</f>
        <v>528.45159999999998</v>
      </c>
      <c r="AC72" s="373">
        <f>+$T72/5</f>
        <v>528.45159999999998</v>
      </c>
      <c r="AD72" s="373">
        <f>+$T72/5</f>
        <v>528.45159999999998</v>
      </c>
      <c r="AE72" s="373">
        <f>+$T72/5</f>
        <v>528.45159999999998</v>
      </c>
      <c r="AF72" s="373">
        <f>+$T72/5</f>
        <v>528.45159999999998</v>
      </c>
      <c r="AG72" s="373">
        <f>+$W72</f>
        <v>62753.627499999995</v>
      </c>
      <c r="AH72" s="373">
        <v>0</v>
      </c>
      <c r="AI72" s="373">
        <v>0</v>
      </c>
      <c r="AJ72" s="373">
        <v>0</v>
      </c>
      <c r="AK72" s="373">
        <v>0</v>
      </c>
      <c r="AL72" s="373">
        <v>0</v>
      </c>
      <c r="AM72" s="373">
        <v>0</v>
      </c>
      <c r="AN72" s="373">
        <v>0</v>
      </c>
      <c r="AO72" s="373">
        <v>0</v>
      </c>
      <c r="AP72" s="373">
        <v>0</v>
      </c>
      <c r="AQ72" s="373">
        <v>0</v>
      </c>
      <c r="AR72" s="373">
        <v>0</v>
      </c>
      <c r="AS72" s="373">
        <v>0</v>
      </c>
      <c r="AT72" s="373">
        <v>0</v>
      </c>
      <c r="AU72" s="373">
        <v>0</v>
      </c>
      <c r="AV72" s="373">
        <v>0</v>
      </c>
      <c r="AW72" s="373">
        <v>0</v>
      </c>
      <c r="AX72" s="373">
        <v>0</v>
      </c>
      <c r="AY72" s="373">
        <v>0</v>
      </c>
      <c r="AZ72" s="373">
        <v>0</v>
      </c>
      <c r="BA72" s="373">
        <v>0</v>
      </c>
      <c r="BB72" s="373">
        <v>0</v>
      </c>
      <c r="BC72" s="373">
        <v>0</v>
      </c>
      <c r="BD72" s="373">
        <v>0</v>
      </c>
      <c r="BE72" s="373">
        <v>0</v>
      </c>
      <c r="BF72" s="373">
        <v>0</v>
      </c>
      <c r="BG72" s="373">
        <v>0</v>
      </c>
      <c r="BH72" s="373">
        <v>0</v>
      </c>
      <c r="BI72" s="373">
        <v>0</v>
      </c>
      <c r="BJ72" s="373">
        <v>0</v>
      </c>
      <c r="BK72" s="373">
        <v>0</v>
      </c>
      <c r="BL72" s="373">
        <v>0</v>
      </c>
      <c r="BM72" s="373">
        <v>0</v>
      </c>
      <c r="BN72" s="373">
        <v>0</v>
      </c>
      <c r="BO72" s="373">
        <v>0</v>
      </c>
      <c r="BP72" s="373">
        <v>0</v>
      </c>
      <c r="BQ72" s="373">
        <v>0</v>
      </c>
      <c r="BR72" s="373">
        <v>0</v>
      </c>
      <c r="BS72" s="373">
        <v>0</v>
      </c>
      <c r="BT72" s="373">
        <v>0</v>
      </c>
      <c r="BU72" s="373">
        <v>0</v>
      </c>
      <c r="BV72" s="373">
        <v>0</v>
      </c>
      <c r="BW72" s="373">
        <v>0</v>
      </c>
      <c r="BX72" s="373">
        <v>0</v>
      </c>
      <c r="BY72" s="373">
        <v>0</v>
      </c>
      <c r="BZ72" s="373">
        <v>0</v>
      </c>
      <c r="CA72" s="373">
        <v>0</v>
      </c>
      <c r="CB72" s="373">
        <v>0</v>
      </c>
      <c r="CC72" s="373">
        <v>0</v>
      </c>
      <c r="CD72" s="373">
        <v>0</v>
      </c>
      <c r="CE72" s="373">
        <v>0</v>
      </c>
      <c r="CF72" s="373">
        <v>0</v>
      </c>
      <c r="CG72" s="373">
        <v>0</v>
      </c>
      <c r="CH72" s="373">
        <v>0</v>
      </c>
      <c r="CI72" s="373">
        <v>0</v>
      </c>
      <c r="CJ72" s="373">
        <v>0</v>
      </c>
      <c r="CK72" s="373">
        <v>0</v>
      </c>
      <c r="CL72" s="373">
        <v>0</v>
      </c>
      <c r="CM72" s="373">
        <v>0</v>
      </c>
      <c r="CN72" s="373">
        <v>0</v>
      </c>
      <c r="CO72" s="373">
        <v>0</v>
      </c>
      <c r="CP72" s="373">
        <v>0</v>
      </c>
      <c r="CQ72" s="373">
        <v>0</v>
      </c>
      <c r="CR72" s="373">
        <v>0</v>
      </c>
      <c r="CS72" s="365">
        <v>0</v>
      </c>
      <c r="CT72" s="373">
        <v>0</v>
      </c>
      <c r="CU72" s="373">
        <v>0</v>
      </c>
      <c r="CV72" s="373">
        <v>0</v>
      </c>
      <c r="CW72" s="373">
        <v>0</v>
      </c>
      <c r="CX72" s="373">
        <v>0</v>
      </c>
      <c r="CY72" s="373">
        <v>0</v>
      </c>
      <c r="CZ72" s="373">
        <v>0</v>
      </c>
      <c r="DA72" s="373">
        <v>0</v>
      </c>
      <c r="DB72" s="373">
        <v>0</v>
      </c>
      <c r="DC72" s="373">
        <v>0</v>
      </c>
      <c r="DD72" s="373">
        <v>0</v>
      </c>
      <c r="DE72" s="373">
        <v>0</v>
      </c>
      <c r="DF72" s="373">
        <v>0</v>
      </c>
      <c r="DG72" s="373">
        <v>0</v>
      </c>
      <c r="DH72" s="373">
        <v>0</v>
      </c>
      <c r="DI72" s="373">
        <v>0</v>
      </c>
      <c r="DJ72" s="373">
        <v>0</v>
      </c>
      <c r="DK72" s="373">
        <v>0</v>
      </c>
      <c r="DL72" s="373">
        <v>0</v>
      </c>
      <c r="DM72" s="373">
        <v>0</v>
      </c>
      <c r="DN72" s="373">
        <v>0</v>
      </c>
      <c r="DO72" s="373">
        <v>0</v>
      </c>
      <c r="DP72" s="373">
        <v>0</v>
      </c>
      <c r="DQ72" s="373">
        <v>0</v>
      </c>
      <c r="DR72" s="373">
        <v>0</v>
      </c>
      <c r="DS72" s="365">
        <v>0</v>
      </c>
      <c r="DT72" s="374">
        <f t="shared" si="44"/>
        <v>66056.45</v>
      </c>
      <c r="DU72" s="375">
        <f t="shared" si="45"/>
        <v>0</v>
      </c>
      <c r="DV72" s="376"/>
      <c r="DW72" s="138" t="b">
        <f t="shared" si="46"/>
        <v>1</v>
      </c>
    </row>
    <row r="73" spans="1:127" s="138" customFormat="1" ht="12" customHeight="1">
      <c r="A73" s="169" t="s">
        <v>421</v>
      </c>
      <c r="B73" s="170"/>
      <c r="C73" s="171" t="s">
        <v>282</v>
      </c>
      <c r="D73" s="171"/>
      <c r="E73" s="365">
        <f t="shared" si="53"/>
        <v>64.61</v>
      </c>
      <c r="F73" s="365">
        <f t="shared" si="54"/>
        <v>0</v>
      </c>
      <c r="G73" s="365">
        <f t="shared" si="52"/>
        <v>64.61</v>
      </c>
      <c r="H73" s="365">
        <f t="shared" si="55"/>
        <v>0</v>
      </c>
      <c r="I73" s="365">
        <f t="shared" si="47"/>
        <v>149.1</v>
      </c>
      <c r="J73" s="366">
        <f t="shared" si="37"/>
        <v>0</v>
      </c>
      <c r="K73" s="378" t="s">
        <v>422</v>
      </c>
      <c r="L73" s="378" t="s">
        <v>329</v>
      </c>
      <c r="M73" s="365">
        <v>5000</v>
      </c>
      <c r="N73" s="379">
        <f t="shared" si="56"/>
        <v>945</v>
      </c>
      <c r="O73" s="385">
        <f t="shared" si="38"/>
        <v>66056.45</v>
      </c>
      <c r="P73" s="370">
        <f t="shared" si="39"/>
        <v>1022.3874013310633</v>
      </c>
      <c r="Q73" s="172">
        <v>0.01</v>
      </c>
      <c r="R73" s="371">
        <f t="shared" si="40"/>
        <v>660.56449999999995</v>
      </c>
      <c r="S73" s="172">
        <v>0.04</v>
      </c>
      <c r="T73" s="371">
        <f t="shared" si="41"/>
        <v>2642.2579999999998</v>
      </c>
      <c r="U73" s="372">
        <f t="shared" si="42"/>
        <v>3</v>
      </c>
      <c r="V73" s="172">
        <v>0.95</v>
      </c>
      <c r="W73" s="371">
        <f t="shared" si="43"/>
        <v>62753.627499999995</v>
      </c>
      <c r="X73" s="373"/>
      <c r="Y73" s="373"/>
      <c r="Z73" s="373"/>
      <c r="AA73" s="373">
        <f>+$R73</f>
        <v>660.56449999999995</v>
      </c>
      <c r="AB73" s="373">
        <f>+$T73/3</f>
        <v>880.75266666666664</v>
      </c>
      <c r="AC73" s="373">
        <f>+$T73/3</f>
        <v>880.75266666666664</v>
      </c>
      <c r="AD73" s="373">
        <f>+$T73/3</f>
        <v>880.75266666666664</v>
      </c>
      <c r="AE73" s="373">
        <f>+$W73</f>
        <v>62753.627499999995</v>
      </c>
      <c r="AF73" s="373">
        <v>0</v>
      </c>
      <c r="AG73" s="373">
        <v>0</v>
      </c>
      <c r="AH73" s="373">
        <v>0</v>
      </c>
      <c r="AI73" s="373">
        <v>0</v>
      </c>
      <c r="AJ73" s="373">
        <v>0</v>
      </c>
      <c r="AK73" s="373">
        <v>0</v>
      </c>
      <c r="AL73" s="373">
        <v>0</v>
      </c>
      <c r="AM73" s="373">
        <v>0</v>
      </c>
      <c r="AN73" s="373">
        <v>0</v>
      </c>
      <c r="AO73" s="373">
        <v>0</v>
      </c>
      <c r="AP73" s="373">
        <v>0</v>
      </c>
      <c r="AQ73" s="373">
        <v>0</v>
      </c>
      <c r="AR73" s="373">
        <v>0</v>
      </c>
      <c r="AS73" s="373">
        <v>0</v>
      </c>
      <c r="AT73" s="373">
        <v>0</v>
      </c>
      <c r="AU73" s="373">
        <v>0</v>
      </c>
      <c r="AV73" s="373">
        <v>0</v>
      </c>
      <c r="AW73" s="373">
        <v>0</v>
      </c>
      <c r="AX73" s="373">
        <v>0</v>
      </c>
      <c r="AY73" s="373">
        <v>0</v>
      </c>
      <c r="AZ73" s="373">
        <v>0</v>
      </c>
      <c r="BA73" s="373">
        <v>0</v>
      </c>
      <c r="BB73" s="373">
        <v>0</v>
      </c>
      <c r="BC73" s="373">
        <v>0</v>
      </c>
      <c r="BD73" s="373">
        <v>0</v>
      </c>
      <c r="BE73" s="373">
        <v>0</v>
      </c>
      <c r="BF73" s="373">
        <v>0</v>
      </c>
      <c r="BG73" s="373">
        <v>0</v>
      </c>
      <c r="BH73" s="373">
        <v>0</v>
      </c>
      <c r="BI73" s="373">
        <v>0</v>
      </c>
      <c r="BJ73" s="373">
        <v>0</v>
      </c>
      <c r="BK73" s="373">
        <v>0</v>
      </c>
      <c r="BL73" s="373">
        <v>0</v>
      </c>
      <c r="BM73" s="373">
        <v>0</v>
      </c>
      <c r="BN73" s="373">
        <v>0</v>
      </c>
      <c r="BO73" s="373">
        <v>0</v>
      </c>
      <c r="BP73" s="373">
        <v>0</v>
      </c>
      <c r="BQ73" s="373">
        <v>0</v>
      </c>
      <c r="BR73" s="373">
        <v>0</v>
      </c>
      <c r="BS73" s="373">
        <v>0</v>
      </c>
      <c r="BT73" s="373">
        <v>0</v>
      </c>
      <c r="BU73" s="373">
        <v>0</v>
      </c>
      <c r="BV73" s="373">
        <v>0</v>
      </c>
      <c r="BW73" s="373">
        <v>0</v>
      </c>
      <c r="BX73" s="373">
        <v>0</v>
      </c>
      <c r="BY73" s="373">
        <v>0</v>
      </c>
      <c r="BZ73" s="373">
        <v>0</v>
      </c>
      <c r="CA73" s="373">
        <v>0</v>
      </c>
      <c r="CB73" s="373">
        <v>0</v>
      </c>
      <c r="CC73" s="373">
        <v>0</v>
      </c>
      <c r="CD73" s="373">
        <v>0</v>
      </c>
      <c r="CE73" s="373">
        <v>0</v>
      </c>
      <c r="CF73" s="373">
        <v>0</v>
      </c>
      <c r="CG73" s="373">
        <v>0</v>
      </c>
      <c r="CH73" s="373">
        <v>0</v>
      </c>
      <c r="CI73" s="373">
        <v>0</v>
      </c>
      <c r="CJ73" s="373">
        <v>0</v>
      </c>
      <c r="CK73" s="373">
        <v>0</v>
      </c>
      <c r="CL73" s="373">
        <v>0</v>
      </c>
      <c r="CM73" s="373">
        <v>0</v>
      </c>
      <c r="CN73" s="373">
        <v>0</v>
      </c>
      <c r="CO73" s="373">
        <v>0</v>
      </c>
      <c r="CP73" s="373">
        <v>0</v>
      </c>
      <c r="CQ73" s="373">
        <v>0</v>
      </c>
      <c r="CR73" s="373">
        <v>0</v>
      </c>
      <c r="CS73" s="365">
        <v>0</v>
      </c>
      <c r="CT73" s="373">
        <v>0</v>
      </c>
      <c r="CU73" s="373">
        <v>0</v>
      </c>
      <c r="CV73" s="373">
        <v>0</v>
      </c>
      <c r="CW73" s="373">
        <v>0</v>
      </c>
      <c r="CX73" s="373">
        <v>0</v>
      </c>
      <c r="CY73" s="373">
        <v>0</v>
      </c>
      <c r="CZ73" s="373">
        <v>0</v>
      </c>
      <c r="DA73" s="373">
        <v>0</v>
      </c>
      <c r="DB73" s="373">
        <v>0</v>
      </c>
      <c r="DC73" s="373">
        <v>0</v>
      </c>
      <c r="DD73" s="373">
        <v>0</v>
      </c>
      <c r="DE73" s="373">
        <v>0</v>
      </c>
      <c r="DF73" s="373">
        <v>0</v>
      </c>
      <c r="DG73" s="373">
        <v>0</v>
      </c>
      <c r="DH73" s="373">
        <v>0</v>
      </c>
      <c r="DI73" s="373">
        <v>0</v>
      </c>
      <c r="DJ73" s="373">
        <v>0</v>
      </c>
      <c r="DK73" s="373">
        <v>0</v>
      </c>
      <c r="DL73" s="373">
        <v>0</v>
      </c>
      <c r="DM73" s="373">
        <v>0</v>
      </c>
      <c r="DN73" s="373">
        <v>0</v>
      </c>
      <c r="DO73" s="373">
        <v>0</v>
      </c>
      <c r="DP73" s="373">
        <v>0</v>
      </c>
      <c r="DQ73" s="373">
        <v>0</v>
      </c>
      <c r="DR73" s="373">
        <v>0</v>
      </c>
      <c r="DS73" s="365">
        <v>0</v>
      </c>
      <c r="DT73" s="374">
        <f t="shared" si="44"/>
        <v>66056.45</v>
      </c>
      <c r="DU73" s="375">
        <f t="shared" si="45"/>
        <v>0</v>
      </c>
      <c r="DV73" s="376"/>
      <c r="DW73" s="138" t="b">
        <f t="shared" si="46"/>
        <v>1</v>
      </c>
    </row>
    <row r="74" spans="1:127" s="138" customFormat="1" ht="12" customHeight="1">
      <c r="A74" s="169" t="s">
        <v>423</v>
      </c>
      <c r="B74" s="170"/>
      <c r="C74" s="171" t="s">
        <v>282</v>
      </c>
      <c r="D74" s="171"/>
      <c r="E74" s="365">
        <f t="shared" si="53"/>
        <v>64.61</v>
      </c>
      <c r="F74" s="365">
        <f t="shared" si="54"/>
        <v>0</v>
      </c>
      <c r="G74" s="365">
        <f t="shared" si="52"/>
        <v>64.61</v>
      </c>
      <c r="H74" s="365">
        <f t="shared" si="55"/>
        <v>0</v>
      </c>
      <c r="I74" s="365">
        <f t="shared" si="47"/>
        <v>149.1</v>
      </c>
      <c r="J74" s="366">
        <f t="shared" si="37"/>
        <v>0</v>
      </c>
      <c r="K74" s="378" t="s">
        <v>424</v>
      </c>
      <c r="L74" s="378" t="s">
        <v>329</v>
      </c>
      <c r="M74" s="365">
        <v>5000</v>
      </c>
      <c r="N74" s="379">
        <f t="shared" si="56"/>
        <v>945</v>
      </c>
      <c r="O74" s="385">
        <f t="shared" si="38"/>
        <v>66056.45</v>
      </c>
      <c r="P74" s="370">
        <f t="shared" si="39"/>
        <v>1022.3874013310633</v>
      </c>
      <c r="Q74" s="172">
        <v>0.01</v>
      </c>
      <c r="R74" s="371">
        <f t="shared" si="40"/>
        <v>660.56449999999995</v>
      </c>
      <c r="S74" s="172">
        <v>0.04</v>
      </c>
      <c r="T74" s="371">
        <f t="shared" si="41"/>
        <v>2642.2579999999998</v>
      </c>
      <c r="U74" s="372">
        <f t="shared" si="42"/>
        <v>1</v>
      </c>
      <c r="V74" s="172">
        <v>0.95</v>
      </c>
      <c r="W74" s="371">
        <f t="shared" si="43"/>
        <v>62753.627499999995</v>
      </c>
      <c r="X74" s="373"/>
      <c r="Y74" s="373"/>
      <c r="Z74" s="373"/>
      <c r="AA74" s="373">
        <f>+$R74</f>
        <v>660.56449999999995</v>
      </c>
      <c r="AB74" s="373">
        <f>+$T74/1</f>
        <v>2642.2579999999998</v>
      </c>
      <c r="AC74" s="373">
        <f>+$W74</f>
        <v>62753.627499999995</v>
      </c>
      <c r="AD74" s="373">
        <v>0</v>
      </c>
      <c r="AE74" s="373">
        <v>0</v>
      </c>
      <c r="AF74" s="373">
        <v>0</v>
      </c>
      <c r="AG74" s="373">
        <v>0</v>
      </c>
      <c r="AH74" s="373">
        <v>0</v>
      </c>
      <c r="AI74" s="373">
        <v>0</v>
      </c>
      <c r="AJ74" s="373">
        <v>0</v>
      </c>
      <c r="AK74" s="373">
        <v>0</v>
      </c>
      <c r="AL74" s="373">
        <v>0</v>
      </c>
      <c r="AM74" s="373">
        <v>0</v>
      </c>
      <c r="AN74" s="373">
        <v>0</v>
      </c>
      <c r="AO74" s="373">
        <v>0</v>
      </c>
      <c r="AP74" s="373">
        <v>0</v>
      </c>
      <c r="AQ74" s="373">
        <v>0</v>
      </c>
      <c r="AR74" s="373">
        <v>0</v>
      </c>
      <c r="AS74" s="373">
        <v>0</v>
      </c>
      <c r="AT74" s="373">
        <v>0</v>
      </c>
      <c r="AU74" s="373">
        <v>0</v>
      </c>
      <c r="AV74" s="373">
        <v>0</v>
      </c>
      <c r="AW74" s="373">
        <v>0</v>
      </c>
      <c r="AX74" s="373">
        <v>0</v>
      </c>
      <c r="AY74" s="373">
        <v>0</v>
      </c>
      <c r="AZ74" s="373">
        <v>0</v>
      </c>
      <c r="BA74" s="373">
        <v>0</v>
      </c>
      <c r="BB74" s="373">
        <v>0</v>
      </c>
      <c r="BC74" s="373">
        <v>0</v>
      </c>
      <c r="BD74" s="373">
        <v>0</v>
      </c>
      <c r="BE74" s="373">
        <v>0</v>
      </c>
      <c r="BF74" s="373">
        <v>0</v>
      </c>
      <c r="BG74" s="373">
        <v>0</v>
      </c>
      <c r="BH74" s="373">
        <v>0</v>
      </c>
      <c r="BI74" s="373">
        <v>0</v>
      </c>
      <c r="BJ74" s="373">
        <v>0</v>
      </c>
      <c r="BK74" s="373">
        <v>0</v>
      </c>
      <c r="BL74" s="373">
        <v>0</v>
      </c>
      <c r="BM74" s="373">
        <v>0</v>
      </c>
      <c r="BN74" s="373">
        <v>0</v>
      </c>
      <c r="BO74" s="373">
        <v>0</v>
      </c>
      <c r="BP74" s="373">
        <v>0</v>
      </c>
      <c r="BQ74" s="373">
        <v>0</v>
      </c>
      <c r="BR74" s="373">
        <v>0</v>
      </c>
      <c r="BS74" s="373">
        <v>0</v>
      </c>
      <c r="BT74" s="373">
        <v>0</v>
      </c>
      <c r="BU74" s="373">
        <v>0</v>
      </c>
      <c r="BV74" s="373">
        <v>0</v>
      </c>
      <c r="BW74" s="373">
        <v>0</v>
      </c>
      <c r="BX74" s="373">
        <v>0</v>
      </c>
      <c r="BY74" s="373">
        <v>0</v>
      </c>
      <c r="BZ74" s="373">
        <v>0</v>
      </c>
      <c r="CA74" s="373">
        <v>0</v>
      </c>
      <c r="CB74" s="373">
        <v>0</v>
      </c>
      <c r="CC74" s="373">
        <v>0</v>
      </c>
      <c r="CD74" s="373">
        <v>0</v>
      </c>
      <c r="CE74" s="373">
        <v>0</v>
      </c>
      <c r="CF74" s="373">
        <v>0</v>
      </c>
      <c r="CG74" s="373">
        <v>0</v>
      </c>
      <c r="CH74" s="373">
        <v>0</v>
      </c>
      <c r="CI74" s="373">
        <v>0</v>
      </c>
      <c r="CJ74" s="373">
        <v>0</v>
      </c>
      <c r="CK74" s="373">
        <v>0</v>
      </c>
      <c r="CL74" s="373">
        <v>0</v>
      </c>
      <c r="CM74" s="373">
        <v>0</v>
      </c>
      <c r="CN74" s="373">
        <v>0</v>
      </c>
      <c r="CO74" s="373">
        <v>0</v>
      </c>
      <c r="CP74" s="373">
        <v>0</v>
      </c>
      <c r="CQ74" s="373">
        <v>0</v>
      </c>
      <c r="CR74" s="373">
        <v>0</v>
      </c>
      <c r="CS74" s="365">
        <v>0</v>
      </c>
      <c r="CT74" s="373">
        <v>0</v>
      </c>
      <c r="CU74" s="373">
        <v>0</v>
      </c>
      <c r="CV74" s="373">
        <v>0</v>
      </c>
      <c r="CW74" s="373">
        <v>0</v>
      </c>
      <c r="CX74" s="373">
        <v>0</v>
      </c>
      <c r="CY74" s="373">
        <v>0</v>
      </c>
      <c r="CZ74" s="373">
        <v>0</v>
      </c>
      <c r="DA74" s="373">
        <v>0</v>
      </c>
      <c r="DB74" s="373">
        <v>0</v>
      </c>
      <c r="DC74" s="373">
        <v>0</v>
      </c>
      <c r="DD74" s="373">
        <v>0</v>
      </c>
      <c r="DE74" s="373">
        <v>0</v>
      </c>
      <c r="DF74" s="373">
        <v>0</v>
      </c>
      <c r="DG74" s="373">
        <v>0</v>
      </c>
      <c r="DH74" s="373">
        <v>0</v>
      </c>
      <c r="DI74" s="373">
        <v>0</v>
      </c>
      <c r="DJ74" s="373">
        <v>0</v>
      </c>
      <c r="DK74" s="373">
        <v>0</v>
      </c>
      <c r="DL74" s="373">
        <v>0</v>
      </c>
      <c r="DM74" s="373">
        <v>0</v>
      </c>
      <c r="DN74" s="373">
        <v>0</v>
      </c>
      <c r="DO74" s="373">
        <v>0</v>
      </c>
      <c r="DP74" s="373">
        <v>0</v>
      </c>
      <c r="DQ74" s="373">
        <v>0</v>
      </c>
      <c r="DR74" s="373">
        <v>0</v>
      </c>
      <c r="DS74" s="365">
        <v>0</v>
      </c>
      <c r="DT74" s="374">
        <f t="shared" si="44"/>
        <v>66056.45</v>
      </c>
      <c r="DU74" s="375">
        <f t="shared" si="45"/>
        <v>0</v>
      </c>
      <c r="DV74" s="376"/>
      <c r="DW74" s="138" t="b">
        <f t="shared" si="46"/>
        <v>1</v>
      </c>
    </row>
    <row r="75" spans="1:127" s="138" customFormat="1" ht="12" customHeight="1">
      <c r="A75" s="169" t="s">
        <v>425</v>
      </c>
      <c r="B75" s="170"/>
      <c r="C75" s="171" t="s">
        <v>282</v>
      </c>
      <c r="D75" s="171"/>
      <c r="E75" s="365">
        <f t="shared" si="53"/>
        <v>64.61</v>
      </c>
      <c r="F75" s="365">
        <f t="shared" si="54"/>
        <v>0</v>
      </c>
      <c r="G75" s="365">
        <f t="shared" si="52"/>
        <v>64.61</v>
      </c>
      <c r="H75" s="365">
        <f t="shared" si="55"/>
        <v>0</v>
      </c>
      <c r="I75" s="365">
        <f t="shared" si="47"/>
        <v>149.1</v>
      </c>
      <c r="J75" s="366">
        <f t="shared" si="37"/>
        <v>0</v>
      </c>
      <c r="K75" s="378"/>
      <c r="L75" s="378"/>
      <c r="M75" s="365"/>
      <c r="N75" s="379">
        <f t="shared" si="56"/>
        <v>945</v>
      </c>
      <c r="O75" s="382">
        <f t="shared" si="38"/>
        <v>61056.45</v>
      </c>
      <c r="P75" s="370">
        <f t="shared" si="39"/>
        <v>945</v>
      </c>
      <c r="Q75" s="172">
        <v>0.01</v>
      </c>
      <c r="R75" s="371">
        <f t="shared" si="40"/>
        <v>610.56449999999995</v>
      </c>
      <c r="S75" s="172">
        <v>0.04</v>
      </c>
      <c r="T75" s="371">
        <f t="shared" si="41"/>
        <v>2442.2579999999998</v>
      </c>
      <c r="U75" s="372">
        <f t="shared" si="42"/>
        <v>5</v>
      </c>
      <c r="V75" s="172">
        <v>0.95</v>
      </c>
      <c r="W75" s="371">
        <f t="shared" si="43"/>
        <v>58003.627499999995</v>
      </c>
      <c r="X75" s="373"/>
      <c r="Y75" s="373"/>
      <c r="Z75" s="373"/>
      <c r="AA75" s="373"/>
      <c r="AB75" s="373">
        <f>+$R75</f>
        <v>610.56449999999995</v>
      </c>
      <c r="AC75" s="373">
        <f>+$T75/5</f>
        <v>488.45159999999998</v>
      </c>
      <c r="AD75" s="373">
        <f>+$T75/5</f>
        <v>488.45159999999998</v>
      </c>
      <c r="AE75" s="373">
        <f>+$T75/5</f>
        <v>488.45159999999998</v>
      </c>
      <c r="AF75" s="373">
        <f>+$T75/5</f>
        <v>488.45159999999998</v>
      </c>
      <c r="AG75" s="373">
        <f>+$T75/5</f>
        <v>488.45159999999998</v>
      </c>
      <c r="AH75" s="373">
        <f>+$W75</f>
        <v>58003.627499999995</v>
      </c>
      <c r="AI75" s="373">
        <v>0</v>
      </c>
      <c r="AJ75" s="373">
        <v>0</v>
      </c>
      <c r="AK75" s="373">
        <v>0</v>
      </c>
      <c r="AL75" s="373">
        <v>0</v>
      </c>
      <c r="AM75" s="373">
        <v>0</v>
      </c>
      <c r="AN75" s="373">
        <v>0</v>
      </c>
      <c r="AO75" s="373">
        <v>0</v>
      </c>
      <c r="AP75" s="373">
        <v>0</v>
      </c>
      <c r="AQ75" s="373">
        <v>0</v>
      </c>
      <c r="AR75" s="373">
        <v>0</v>
      </c>
      <c r="AS75" s="373">
        <v>0</v>
      </c>
      <c r="AT75" s="373">
        <v>0</v>
      </c>
      <c r="AU75" s="373">
        <v>0</v>
      </c>
      <c r="AV75" s="373">
        <v>0</v>
      </c>
      <c r="AW75" s="373">
        <v>0</v>
      </c>
      <c r="AX75" s="373">
        <v>0</v>
      </c>
      <c r="AY75" s="373">
        <v>0</v>
      </c>
      <c r="AZ75" s="373">
        <v>0</v>
      </c>
      <c r="BA75" s="373">
        <v>0</v>
      </c>
      <c r="BB75" s="373">
        <v>0</v>
      </c>
      <c r="BC75" s="373">
        <v>0</v>
      </c>
      <c r="BD75" s="373">
        <v>0</v>
      </c>
      <c r="BE75" s="373">
        <v>0</v>
      </c>
      <c r="BF75" s="373">
        <v>0</v>
      </c>
      <c r="BG75" s="373">
        <v>0</v>
      </c>
      <c r="BH75" s="373">
        <v>0</v>
      </c>
      <c r="BI75" s="373">
        <v>0</v>
      </c>
      <c r="BJ75" s="373">
        <v>0</v>
      </c>
      <c r="BK75" s="373">
        <v>0</v>
      </c>
      <c r="BL75" s="373">
        <v>0</v>
      </c>
      <c r="BM75" s="373">
        <v>0</v>
      </c>
      <c r="BN75" s="373">
        <v>0</v>
      </c>
      <c r="BO75" s="373">
        <v>0</v>
      </c>
      <c r="BP75" s="373">
        <v>0</v>
      </c>
      <c r="BQ75" s="373">
        <v>0</v>
      </c>
      <c r="BR75" s="373">
        <v>0</v>
      </c>
      <c r="BS75" s="373">
        <v>0</v>
      </c>
      <c r="BT75" s="373">
        <v>0</v>
      </c>
      <c r="BU75" s="373">
        <v>0</v>
      </c>
      <c r="BV75" s="373">
        <v>0</v>
      </c>
      <c r="BW75" s="373">
        <v>0</v>
      </c>
      <c r="BX75" s="373">
        <v>0</v>
      </c>
      <c r="BY75" s="373">
        <v>0</v>
      </c>
      <c r="BZ75" s="373">
        <v>0</v>
      </c>
      <c r="CA75" s="373">
        <v>0</v>
      </c>
      <c r="CB75" s="373">
        <v>0</v>
      </c>
      <c r="CC75" s="373">
        <v>0</v>
      </c>
      <c r="CD75" s="373">
        <v>0</v>
      </c>
      <c r="CE75" s="373">
        <v>0</v>
      </c>
      <c r="CF75" s="373">
        <v>0</v>
      </c>
      <c r="CG75" s="373">
        <v>0</v>
      </c>
      <c r="CH75" s="373">
        <v>0</v>
      </c>
      <c r="CI75" s="373">
        <v>0</v>
      </c>
      <c r="CJ75" s="373">
        <v>0</v>
      </c>
      <c r="CK75" s="373">
        <v>0</v>
      </c>
      <c r="CL75" s="373">
        <v>0</v>
      </c>
      <c r="CM75" s="373">
        <v>0</v>
      </c>
      <c r="CN75" s="373">
        <v>0</v>
      </c>
      <c r="CO75" s="373">
        <v>0</v>
      </c>
      <c r="CP75" s="373">
        <v>0</v>
      </c>
      <c r="CQ75" s="373">
        <v>0</v>
      </c>
      <c r="CR75" s="373">
        <v>0</v>
      </c>
      <c r="CS75" s="365">
        <v>0</v>
      </c>
      <c r="CT75" s="373">
        <v>0</v>
      </c>
      <c r="CU75" s="373">
        <v>0</v>
      </c>
      <c r="CV75" s="373">
        <v>0</v>
      </c>
      <c r="CW75" s="373">
        <v>0</v>
      </c>
      <c r="CX75" s="373">
        <v>0</v>
      </c>
      <c r="CY75" s="373">
        <v>0</v>
      </c>
      <c r="CZ75" s="373">
        <v>0</v>
      </c>
      <c r="DA75" s="373">
        <v>0</v>
      </c>
      <c r="DB75" s="373">
        <v>0</v>
      </c>
      <c r="DC75" s="373">
        <v>0</v>
      </c>
      <c r="DD75" s="373">
        <v>0</v>
      </c>
      <c r="DE75" s="373">
        <v>0</v>
      </c>
      <c r="DF75" s="373">
        <v>0</v>
      </c>
      <c r="DG75" s="373">
        <v>0</v>
      </c>
      <c r="DH75" s="373">
        <v>0</v>
      </c>
      <c r="DI75" s="373">
        <v>0</v>
      </c>
      <c r="DJ75" s="373">
        <v>0</v>
      </c>
      <c r="DK75" s="373">
        <v>0</v>
      </c>
      <c r="DL75" s="373">
        <v>0</v>
      </c>
      <c r="DM75" s="373">
        <v>0</v>
      </c>
      <c r="DN75" s="373">
        <v>0</v>
      </c>
      <c r="DO75" s="373">
        <v>0</v>
      </c>
      <c r="DP75" s="373">
        <v>0</v>
      </c>
      <c r="DQ75" s="373">
        <v>0</v>
      </c>
      <c r="DR75" s="373">
        <v>0</v>
      </c>
      <c r="DS75" s="365">
        <v>0</v>
      </c>
      <c r="DT75" s="374">
        <f t="shared" si="44"/>
        <v>61056.45</v>
      </c>
      <c r="DU75" s="375">
        <f t="shared" si="45"/>
        <v>0</v>
      </c>
      <c r="DV75" s="376"/>
      <c r="DW75" s="138" t="b">
        <f t="shared" si="46"/>
        <v>1</v>
      </c>
    </row>
    <row r="76" spans="1:127" s="138" customFormat="1" ht="12" customHeight="1">
      <c r="A76" s="169" t="s">
        <v>426</v>
      </c>
      <c r="B76" s="170"/>
      <c r="C76" s="171" t="s">
        <v>282</v>
      </c>
      <c r="D76" s="171"/>
      <c r="E76" s="365">
        <f t="shared" si="53"/>
        <v>64.61</v>
      </c>
      <c r="F76" s="365">
        <f t="shared" si="54"/>
        <v>0</v>
      </c>
      <c r="G76" s="365">
        <f t="shared" si="52"/>
        <v>64.61</v>
      </c>
      <c r="H76" s="365">
        <f t="shared" si="55"/>
        <v>0</v>
      </c>
      <c r="I76" s="365">
        <f t="shared" si="47"/>
        <v>149.1</v>
      </c>
      <c r="J76" s="366">
        <f t="shared" si="37"/>
        <v>0</v>
      </c>
      <c r="K76" s="378"/>
      <c r="L76" s="378"/>
      <c r="M76" s="365"/>
      <c r="N76" s="379">
        <f t="shared" si="56"/>
        <v>945</v>
      </c>
      <c r="O76" s="382">
        <f t="shared" si="38"/>
        <v>61056.45</v>
      </c>
      <c r="P76" s="370">
        <f t="shared" si="39"/>
        <v>945</v>
      </c>
      <c r="Q76" s="172">
        <v>0.01</v>
      </c>
      <c r="R76" s="371">
        <f t="shared" si="40"/>
        <v>610.56449999999995</v>
      </c>
      <c r="S76" s="172">
        <v>0.04</v>
      </c>
      <c r="T76" s="371">
        <f t="shared" si="41"/>
        <v>2442.2579999999998</v>
      </c>
      <c r="U76" s="372">
        <f t="shared" si="42"/>
        <v>3</v>
      </c>
      <c r="V76" s="172">
        <v>0.95</v>
      </c>
      <c r="W76" s="371">
        <f t="shared" si="43"/>
        <v>58003.627499999995</v>
      </c>
      <c r="X76" s="373"/>
      <c r="Y76" s="373"/>
      <c r="Z76" s="373"/>
      <c r="AA76" s="373"/>
      <c r="AB76" s="373">
        <f>+$R76</f>
        <v>610.56449999999995</v>
      </c>
      <c r="AC76" s="373">
        <f>+$T76/3</f>
        <v>814.0859999999999</v>
      </c>
      <c r="AD76" s="373">
        <f>+$T76/3</f>
        <v>814.0859999999999</v>
      </c>
      <c r="AE76" s="373">
        <f>+$T76/3</f>
        <v>814.0859999999999</v>
      </c>
      <c r="AF76" s="373">
        <f>+$W76</f>
        <v>58003.627499999995</v>
      </c>
      <c r="AG76" s="373">
        <v>0</v>
      </c>
      <c r="AH76" s="373">
        <v>0</v>
      </c>
      <c r="AI76" s="373">
        <v>0</v>
      </c>
      <c r="AJ76" s="373">
        <v>0</v>
      </c>
      <c r="AK76" s="373">
        <v>0</v>
      </c>
      <c r="AL76" s="373">
        <v>0</v>
      </c>
      <c r="AM76" s="373">
        <v>0</v>
      </c>
      <c r="AN76" s="373">
        <v>0</v>
      </c>
      <c r="AO76" s="373">
        <v>0</v>
      </c>
      <c r="AP76" s="373">
        <v>0</v>
      </c>
      <c r="AQ76" s="373">
        <v>0</v>
      </c>
      <c r="AR76" s="373">
        <v>0</v>
      </c>
      <c r="AS76" s="373">
        <v>0</v>
      </c>
      <c r="AT76" s="373">
        <v>0</v>
      </c>
      <c r="AU76" s="373">
        <v>0</v>
      </c>
      <c r="AV76" s="373">
        <v>0</v>
      </c>
      <c r="AW76" s="373">
        <v>0</v>
      </c>
      <c r="AX76" s="373">
        <v>0</v>
      </c>
      <c r="AY76" s="373">
        <v>0</v>
      </c>
      <c r="AZ76" s="373">
        <v>0</v>
      </c>
      <c r="BA76" s="373">
        <v>0</v>
      </c>
      <c r="BB76" s="373">
        <v>0</v>
      </c>
      <c r="BC76" s="373">
        <v>0</v>
      </c>
      <c r="BD76" s="373">
        <v>0</v>
      </c>
      <c r="BE76" s="373">
        <v>0</v>
      </c>
      <c r="BF76" s="373">
        <v>0</v>
      </c>
      <c r="BG76" s="373">
        <v>0</v>
      </c>
      <c r="BH76" s="373">
        <v>0</v>
      </c>
      <c r="BI76" s="373">
        <v>0</v>
      </c>
      <c r="BJ76" s="373">
        <v>0</v>
      </c>
      <c r="BK76" s="373">
        <v>0</v>
      </c>
      <c r="BL76" s="373">
        <v>0</v>
      </c>
      <c r="BM76" s="373">
        <v>0</v>
      </c>
      <c r="BN76" s="373">
        <v>0</v>
      </c>
      <c r="BO76" s="373">
        <v>0</v>
      </c>
      <c r="BP76" s="373">
        <v>0</v>
      </c>
      <c r="BQ76" s="373">
        <v>0</v>
      </c>
      <c r="BR76" s="373">
        <v>0</v>
      </c>
      <c r="BS76" s="373">
        <v>0</v>
      </c>
      <c r="BT76" s="373">
        <v>0</v>
      </c>
      <c r="BU76" s="373">
        <v>0</v>
      </c>
      <c r="BV76" s="373">
        <v>0</v>
      </c>
      <c r="BW76" s="373">
        <v>0</v>
      </c>
      <c r="BX76" s="373">
        <v>0</v>
      </c>
      <c r="BY76" s="373">
        <v>0</v>
      </c>
      <c r="BZ76" s="373">
        <v>0</v>
      </c>
      <c r="CA76" s="373">
        <v>0</v>
      </c>
      <c r="CB76" s="373">
        <v>0</v>
      </c>
      <c r="CC76" s="373">
        <v>0</v>
      </c>
      <c r="CD76" s="373">
        <v>0</v>
      </c>
      <c r="CE76" s="373">
        <v>0</v>
      </c>
      <c r="CF76" s="373">
        <v>0</v>
      </c>
      <c r="CG76" s="373">
        <v>0</v>
      </c>
      <c r="CH76" s="373">
        <v>0</v>
      </c>
      <c r="CI76" s="373">
        <v>0</v>
      </c>
      <c r="CJ76" s="373">
        <v>0</v>
      </c>
      <c r="CK76" s="373">
        <v>0</v>
      </c>
      <c r="CL76" s="373">
        <v>0</v>
      </c>
      <c r="CM76" s="373">
        <v>0</v>
      </c>
      <c r="CN76" s="373">
        <v>0</v>
      </c>
      <c r="CO76" s="373">
        <v>0</v>
      </c>
      <c r="CP76" s="373">
        <v>0</v>
      </c>
      <c r="CQ76" s="373">
        <v>0</v>
      </c>
      <c r="CR76" s="373">
        <v>0</v>
      </c>
      <c r="CS76" s="365">
        <v>0</v>
      </c>
      <c r="CT76" s="373">
        <v>0</v>
      </c>
      <c r="CU76" s="373">
        <v>0</v>
      </c>
      <c r="CV76" s="373">
        <v>0</v>
      </c>
      <c r="CW76" s="373">
        <v>0</v>
      </c>
      <c r="CX76" s="373">
        <v>0</v>
      </c>
      <c r="CY76" s="373">
        <v>0</v>
      </c>
      <c r="CZ76" s="373">
        <v>0</v>
      </c>
      <c r="DA76" s="373">
        <v>0</v>
      </c>
      <c r="DB76" s="373">
        <v>0</v>
      </c>
      <c r="DC76" s="373">
        <v>0</v>
      </c>
      <c r="DD76" s="373">
        <v>0</v>
      </c>
      <c r="DE76" s="373">
        <v>0</v>
      </c>
      <c r="DF76" s="373">
        <v>0</v>
      </c>
      <c r="DG76" s="373">
        <v>0</v>
      </c>
      <c r="DH76" s="373">
        <v>0</v>
      </c>
      <c r="DI76" s="373">
        <v>0</v>
      </c>
      <c r="DJ76" s="373">
        <v>0</v>
      </c>
      <c r="DK76" s="373">
        <v>0</v>
      </c>
      <c r="DL76" s="373">
        <v>0</v>
      </c>
      <c r="DM76" s="373">
        <v>0</v>
      </c>
      <c r="DN76" s="373">
        <v>0</v>
      </c>
      <c r="DO76" s="373">
        <v>0</v>
      </c>
      <c r="DP76" s="373">
        <v>0</v>
      </c>
      <c r="DQ76" s="373">
        <v>0</v>
      </c>
      <c r="DR76" s="373">
        <v>0</v>
      </c>
      <c r="DS76" s="365">
        <v>0</v>
      </c>
      <c r="DT76" s="374">
        <f t="shared" si="44"/>
        <v>61056.45</v>
      </c>
      <c r="DU76" s="375">
        <f t="shared" si="45"/>
        <v>0</v>
      </c>
      <c r="DV76" s="376"/>
      <c r="DW76" s="138" t="b">
        <f t="shared" si="46"/>
        <v>1</v>
      </c>
    </row>
    <row r="77" spans="1:127" s="138" customFormat="1" ht="12" customHeight="1">
      <c r="A77" s="169" t="s">
        <v>427</v>
      </c>
      <c r="B77" s="170"/>
      <c r="C77" s="171" t="s">
        <v>282</v>
      </c>
      <c r="D77" s="171"/>
      <c r="E77" s="365">
        <f t="shared" si="53"/>
        <v>64.61</v>
      </c>
      <c r="F77" s="365">
        <f t="shared" si="54"/>
        <v>0</v>
      </c>
      <c r="G77" s="365">
        <f t="shared" si="52"/>
        <v>64.61</v>
      </c>
      <c r="H77" s="365">
        <f t="shared" si="55"/>
        <v>0</v>
      </c>
      <c r="I77" s="365">
        <f t="shared" si="47"/>
        <v>149.1</v>
      </c>
      <c r="J77" s="366">
        <f t="shared" si="37"/>
        <v>0</v>
      </c>
      <c r="K77" s="378"/>
      <c r="L77" s="378"/>
      <c r="M77" s="365"/>
      <c r="N77" s="379">
        <f t="shared" si="56"/>
        <v>945</v>
      </c>
      <c r="O77" s="382">
        <f t="shared" si="38"/>
        <v>61056.45</v>
      </c>
      <c r="P77" s="370">
        <f t="shared" si="39"/>
        <v>945</v>
      </c>
      <c r="Q77" s="172">
        <v>0.01</v>
      </c>
      <c r="R77" s="371">
        <f t="shared" si="40"/>
        <v>610.56449999999995</v>
      </c>
      <c r="S77" s="172">
        <v>0.04</v>
      </c>
      <c r="T77" s="371">
        <f t="shared" si="41"/>
        <v>2442.2579999999998</v>
      </c>
      <c r="U77" s="372">
        <f t="shared" si="42"/>
        <v>1</v>
      </c>
      <c r="V77" s="172">
        <v>0.95</v>
      </c>
      <c r="W77" s="371">
        <f t="shared" si="43"/>
        <v>58003.627499999995</v>
      </c>
      <c r="X77" s="373"/>
      <c r="Y77" s="373"/>
      <c r="Z77" s="373"/>
      <c r="AA77" s="373"/>
      <c r="AB77" s="373">
        <f>+$R77</f>
        <v>610.56449999999995</v>
      </c>
      <c r="AC77" s="373">
        <f>+$T77/1</f>
        <v>2442.2579999999998</v>
      </c>
      <c r="AD77" s="373">
        <f>+$W77</f>
        <v>58003.627499999995</v>
      </c>
      <c r="AE77" s="373">
        <v>0</v>
      </c>
      <c r="AF77" s="373">
        <v>0</v>
      </c>
      <c r="AG77" s="373">
        <v>0</v>
      </c>
      <c r="AH77" s="373">
        <v>0</v>
      </c>
      <c r="AI77" s="373">
        <f>+AH77</f>
        <v>0</v>
      </c>
      <c r="AJ77" s="373">
        <f>+AI77</f>
        <v>0</v>
      </c>
      <c r="AK77" s="373">
        <v>0</v>
      </c>
      <c r="AL77" s="373">
        <v>0</v>
      </c>
      <c r="AM77" s="373">
        <v>0</v>
      </c>
      <c r="AN77" s="373">
        <v>0</v>
      </c>
      <c r="AO77" s="373">
        <v>0</v>
      </c>
      <c r="AP77" s="373">
        <v>0</v>
      </c>
      <c r="AQ77" s="373">
        <v>0</v>
      </c>
      <c r="AR77" s="373">
        <v>0</v>
      </c>
      <c r="AS77" s="373">
        <v>0</v>
      </c>
      <c r="AT77" s="373">
        <v>0</v>
      </c>
      <c r="AU77" s="373">
        <v>0</v>
      </c>
      <c r="AV77" s="373">
        <v>0</v>
      </c>
      <c r="AW77" s="373">
        <v>0</v>
      </c>
      <c r="AX77" s="373">
        <v>0</v>
      </c>
      <c r="AY77" s="373">
        <v>0</v>
      </c>
      <c r="AZ77" s="373">
        <v>0</v>
      </c>
      <c r="BA77" s="373">
        <v>0</v>
      </c>
      <c r="BB77" s="373">
        <v>0</v>
      </c>
      <c r="BC77" s="373">
        <v>0</v>
      </c>
      <c r="BD77" s="373">
        <v>0</v>
      </c>
      <c r="BE77" s="373">
        <v>0</v>
      </c>
      <c r="BF77" s="373">
        <v>0</v>
      </c>
      <c r="BG77" s="373">
        <v>0</v>
      </c>
      <c r="BH77" s="373">
        <v>0</v>
      </c>
      <c r="BI77" s="373">
        <v>0</v>
      </c>
      <c r="BJ77" s="373">
        <v>0</v>
      </c>
      <c r="BK77" s="373">
        <v>0</v>
      </c>
      <c r="BL77" s="373">
        <v>0</v>
      </c>
      <c r="BM77" s="373">
        <v>0</v>
      </c>
      <c r="BN77" s="373">
        <v>0</v>
      </c>
      <c r="BO77" s="373">
        <v>0</v>
      </c>
      <c r="BP77" s="373">
        <v>0</v>
      </c>
      <c r="BQ77" s="373">
        <v>0</v>
      </c>
      <c r="BR77" s="373">
        <v>0</v>
      </c>
      <c r="BS77" s="373">
        <v>0</v>
      </c>
      <c r="BT77" s="373">
        <v>0</v>
      </c>
      <c r="BU77" s="373">
        <v>0</v>
      </c>
      <c r="BV77" s="373">
        <v>0</v>
      </c>
      <c r="BW77" s="373">
        <v>0</v>
      </c>
      <c r="BX77" s="373">
        <v>0</v>
      </c>
      <c r="BY77" s="373">
        <v>0</v>
      </c>
      <c r="BZ77" s="373">
        <v>0</v>
      </c>
      <c r="CA77" s="373">
        <v>0</v>
      </c>
      <c r="CB77" s="373">
        <v>0</v>
      </c>
      <c r="CC77" s="373">
        <v>0</v>
      </c>
      <c r="CD77" s="373">
        <v>0</v>
      </c>
      <c r="CE77" s="373">
        <v>0</v>
      </c>
      <c r="CF77" s="373">
        <v>0</v>
      </c>
      <c r="CG77" s="373">
        <v>0</v>
      </c>
      <c r="CH77" s="373">
        <v>0</v>
      </c>
      <c r="CI77" s="373">
        <v>0</v>
      </c>
      <c r="CJ77" s="373">
        <v>0</v>
      </c>
      <c r="CK77" s="373">
        <v>0</v>
      </c>
      <c r="CL77" s="373">
        <v>0</v>
      </c>
      <c r="CM77" s="373">
        <v>0</v>
      </c>
      <c r="CN77" s="373">
        <v>0</v>
      </c>
      <c r="CO77" s="373">
        <v>0</v>
      </c>
      <c r="CP77" s="373">
        <v>0</v>
      </c>
      <c r="CQ77" s="373">
        <v>0</v>
      </c>
      <c r="CR77" s="373">
        <v>0</v>
      </c>
      <c r="CS77" s="365">
        <v>0</v>
      </c>
      <c r="CT77" s="373">
        <v>0</v>
      </c>
      <c r="CU77" s="373">
        <v>0</v>
      </c>
      <c r="CV77" s="373">
        <v>0</v>
      </c>
      <c r="CW77" s="373">
        <v>0</v>
      </c>
      <c r="CX77" s="373">
        <v>0</v>
      </c>
      <c r="CY77" s="373">
        <v>0</v>
      </c>
      <c r="CZ77" s="373">
        <v>0</v>
      </c>
      <c r="DA77" s="373">
        <v>0</v>
      </c>
      <c r="DB77" s="373">
        <v>0</v>
      </c>
      <c r="DC77" s="373">
        <v>0</v>
      </c>
      <c r="DD77" s="373">
        <v>0</v>
      </c>
      <c r="DE77" s="373">
        <v>0</v>
      </c>
      <c r="DF77" s="373">
        <v>0</v>
      </c>
      <c r="DG77" s="373">
        <v>0</v>
      </c>
      <c r="DH77" s="373">
        <v>0</v>
      </c>
      <c r="DI77" s="373">
        <v>0</v>
      </c>
      <c r="DJ77" s="373">
        <v>0</v>
      </c>
      <c r="DK77" s="373">
        <v>0</v>
      </c>
      <c r="DL77" s="373">
        <v>0</v>
      </c>
      <c r="DM77" s="373">
        <v>0</v>
      </c>
      <c r="DN77" s="373">
        <v>0</v>
      </c>
      <c r="DO77" s="373">
        <v>0</v>
      </c>
      <c r="DP77" s="373">
        <v>0</v>
      </c>
      <c r="DQ77" s="373">
        <v>0</v>
      </c>
      <c r="DR77" s="373">
        <v>0</v>
      </c>
      <c r="DS77" s="365">
        <v>0</v>
      </c>
      <c r="DT77" s="374">
        <f t="shared" si="44"/>
        <v>61056.45</v>
      </c>
      <c r="DU77" s="375">
        <f t="shared" si="45"/>
        <v>0</v>
      </c>
      <c r="DV77" s="376"/>
      <c r="DW77" s="138" t="b">
        <f t="shared" si="46"/>
        <v>1</v>
      </c>
    </row>
    <row r="78" spans="1:127" s="138" customFormat="1" ht="12" customHeight="1">
      <c r="A78" s="169" t="s">
        <v>428</v>
      </c>
      <c r="B78" s="170"/>
      <c r="C78" s="171" t="s">
        <v>282</v>
      </c>
      <c r="D78" s="171"/>
      <c r="E78" s="365">
        <f t="shared" si="53"/>
        <v>64.61</v>
      </c>
      <c r="F78" s="365">
        <f t="shared" si="54"/>
        <v>0</v>
      </c>
      <c r="G78" s="365">
        <f t="shared" si="52"/>
        <v>64.61</v>
      </c>
      <c r="H78" s="365">
        <f t="shared" si="55"/>
        <v>0</v>
      </c>
      <c r="I78" s="365">
        <f t="shared" si="47"/>
        <v>149.1</v>
      </c>
      <c r="J78" s="366">
        <f t="shared" si="37"/>
        <v>0</v>
      </c>
      <c r="K78" s="378"/>
      <c r="L78" s="378"/>
      <c r="M78" s="365"/>
      <c r="N78" s="379">
        <f t="shared" si="56"/>
        <v>945</v>
      </c>
      <c r="O78" s="382">
        <f t="shared" si="38"/>
        <v>61056.45</v>
      </c>
      <c r="P78" s="370">
        <f t="shared" si="39"/>
        <v>945</v>
      </c>
      <c r="Q78" s="172">
        <v>0.01</v>
      </c>
      <c r="R78" s="371">
        <f t="shared" si="40"/>
        <v>610.56449999999995</v>
      </c>
      <c r="S78" s="172">
        <v>0.04</v>
      </c>
      <c r="T78" s="371">
        <f t="shared" si="41"/>
        <v>2442.2579999999998</v>
      </c>
      <c r="U78" s="372">
        <f t="shared" si="42"/>
        <v>5</v>
      </c>
      <c r="V78" s="172">
        <v>0.95</v>
      </c>
      <c r="W78" s="371">
        <f t="shared" si="43"/>
        <v>58003.627499999995</v>
      </c>
      <c r="X78" s="373"/>
      <c r="Y78" s="373"/>
      <c r="Z78" s="373"/>
      <c r="AA78" s="373"/>
      <c r="AB78" s="373">
        <f>+$R78</f>
        <v>610.56449999999995</v>
      </c>
      <c r="AC78" s="373">
        <f>+$T78/5</f>
        <v>488.45159999999998</v>
      </c>
      <c r="AD78" s="373">
        <f>+$T78/5</f>
        <v>488.45159999999998</v>
      </c>
      <c r="AE78" s="373">
        <f>+$T78/5</f>
        <v>488.45159999999998</v>
      </c>
      <c r="AF78" s="373">
        <f>+$T78/5</f>
        <v>488.45159999999998</v>
      </c>
      <c r="AG78" s="373">
        <f>+$T78/5</f>
        <v>488.45159999999998</v>
      </c>
      <c r="AH78" s="373">
        <f>+$W78</f>
        <v>58003.627499999995</v>
      </c>
      <c r="AI78" s="373">
        <v>0</v>
      </c>
      <c r="AJ78" s="373">
        <v>0</v>
      </c>
      <c r="AK78" s="373">
        <v>0</v>
      </c>
      <c r="AL78" s="373">
        <v>0</v>
      </c>
      <c r="AM78" s="373">
        <v>0</v>
      </c>
      <c r="AN78" s="373">
        <v>0</v>
      </c>
      <c r="AO78" s="373">
        <v>0</v>
      </c>
      <c r="AP78" s="373">
        <v>0</v>
      </c>
      <c r="AQ78" s="373">
        <v>0</v>
      </c>
      <c r="AR78" s="373">
        <v>0</v>
      </c>
      <c r="AS78" s="373">
        <v>0</v>
      </c>
      <c r="AT78" s="373">
        <v>0</v>
      </c>
      <c r="AU78" s="373">
        <v>0</v>
      </c>
      <c r="AV78" s="373">
        <v>0</v>
      </c>
      <c r="AW78" s="373">
        <v>0</v>
      </c>
      <c r="AX78" s="373">
        <v>0</v>
      </c>
      <c r="AY78" s="373">
        <v>0</v>
      </c>
      <c r="AZ78" s="373">
        <v>0</v>
      </c>
      <c r="BA78" s="373">
        <v>0</v>
      </c>
      <c r="BB78" s="373">
        <v>0</v>
      </c>
      <c r="BC78" s="373">
        <v>0</v>
      </c>
      <c r="BD78" s="373">
        <v>0</v>
      </c>
      <c r="BE78" s="373">
        <v>0</v>
      </c>
      <c r="BF78" s="373">
        <v>0</v>
      </c>
      <c r="BG78" s="373">
        <v>0</v>
      </c>
      <c r="BH78" s="373">
        <v>0</v>
      </c>
      <c r="BI78" s="373">
        <v>0</v>
      </c>
      <c r="BJ78" s="373">
        <v>0</v>
      </c>
      <c r="BK78" s="373">
        <v>0</v>
      </c>
      <c r="BL78" s="373">
        <v>0</v>
      </c>
      <c r="BM78" s="373">
        <v>0</v>
      </c>
      <c r="BN78" s="373">
        <v>0</v>
      </c>
      <c r="BO78" s="373">
        <v>0</v>
      </c>
      <c r="BP78" s="373">
        <v>0</v>
      </c>
      <c r="BQ78" s="373">
        <v>0</v>
      </c>
      <c r="BR78" s="373">
        <v>0</v>
      </c>
      <c r="BS78" s="373">
        <v>0</v>
      </c>
      <c r="BT78" s="373">
        <v>0</v>
      </c>
      <c r="BU78" s="373">
        <v>0</v>
      </c>
      <c r="BV78" s="373">
        <v>0</v>
      </c>
      <c r="BW78" s="373">
        <v>0</v>
      </c>
      <c r="BX78" s="373">
        <v>0</v>
      </c>
      <c r="BY78" s="373">
        <v>0</v>
      </c>
      <c r="BZ78" s="373">
        <v>0</v>
      </c>
      <c r="CA78" s="373">
        <v>0</v>
      </c>
      <c r="CB78" s="373">
        <v>0</v>
      </c>
      <c r="CC78" s="373">
        <v>0</v>
      </c>
      <c r="CD78" s="373">
        <v>0</v>
      </c>
      <c r="CE78" s="373">
        <v>0</v>
      </c>
      <c r="CF78" s="373">
        <v>0</v>
      </c>
      <c r="CG78" s="373">
        <v>0</v>
      </c>
      <c r="CH78" s="373">
        <v>0</v>
      </c>
      <c r="CI78" s="373">
        <v>0</v>
      </c>
      <c r="CJ78" s="373">
        <v>0</v>
      </c>
      <c r="CK78" s="373">
        <v>0</v>
      </c>
      <c r="CL78" s="373">
        <v>0</v>
      </c>
      <c r="CM78" s="373">
        <v>0</v>
      </c>
      <c r="CN78" s="373">
        <v>0</v>
      </c>
      <c r="CO78" s="373">
        <v>0</v>
      </c>
      <c r="CP78" s="373">
        <v>0</v>
      </c>
      <c r="CQ78" s="373">
        <v>0</v>
      </c>
      <c r="CR78" s="373">
        <v>0</v>
      </c>
      <c r="CS78" s="365">
        <v>0</v>
      </c>
      <c r="CT78" s="373">
        <v>0</v>
      </c>
      <c r="CU78" s="373">
        <v>0</v>
      </c>
      <c r="CV78" s="373">
        <v>0</v>
      </c>
      <c r="CW78" s="373">
        <v>0</v>
      </c>
      <c r="CX78" s="373">
        <v>0</v>
      </c>
      <c r="CY78" s="373">
        <v>0</v>
      </c>
      <c r="CZ78" s="373">
        <v>0</v>
      </c>
      <c r="DA78" s="373">
        <v>0</v>
      </c>
      <c r="DB78" s="373">
        <v>0</v>
      </c>
      <c r="DC78" s="373">
        <v>0</v>
      </c>
      <c r="DD78" s="373">
        <v>0</v>
      </c>
      <c r="DE78" s="373">
        <v>0</v>
      </c>
      <c r="DF78" s="373">
        <v>0</v>
      </c>
      <c r="DG78" s="373">
        <v>0</v>
      </c>
      <c r="DH78" s="373">
        <v>0</v>
      </c>
      <c r="DI78" s="373">
        <v>0</v>
      </c>
      <c r="DJ78" s="373">
        <v>0</v>
      </c>
      <c r="DK78" s="373">
        <v>0</v>
      </c>
      <c r="DL78" s="373">
        <v>0</v>
      </c>
      <c r="DM78" s="373">
        <v>0</v>
      </c>
      <c r="DN78" s="373">
        <v>0</v>
      </c>
      <c r="DO78" s="373">
        <v>0</v>
      </c>
      <c r="DP78" s="373">
        <v>0</v>
      </c>
      <c r="DQ78" s="373">
        <v>0</v>
      </c>
      <c r="DR78" s="373">
        <v>0</v>
      </c>
      <c r="DS78" s="365">
        <v>0</v>
      </c>
      <c r="DT78" s="374">
        <f t="shared" si="44"/>
        <v>61056.45</v>
      </c>
      <c r="DU78" s="375">
        <f t="shared" si="45"/>
        <v>0</v>
      </c>
      <c r="DV78" s="376"/>
      <c r="DW78" s="138" t="b">
        <f t="shared" si="46"/>
        <v>1</v>
      </c>
    </row>
    <row r="79" spans="1:127" s="138" customFormat="1" ht="12" customHeight="1">
      <c r="A79" s="169" t="s">
        <v>429</v>
      </c>
      <c r="B79" s="170"/>
      <c r="C79" s="171" t="s">
        <v>282</v>
      </c>
      <c r="D79" s="171"/>
      <c r="E79" s="365">
        <f t="shared" si="53"/>
        <v>64.61</v>
      </c>
      <c r="F79" s="365">
        <f t="shared" si="54"/>
        <v>0</v>
      </c>
      <c r="G79" s="365">
        <f t="shared" si="52"/>
        <v>64.61</v>
      </c>
      <c r="H79" s="365">
        <f t="shared" si="55"/>
        <v>0</v>
      </c>
      <c r="I79" s="365">
        <f t="shared" si="47"/>
        <v>149.1</v>
      </c>
      <c r="J79" s="366">
        <f t="shared" si="37"/>
        <v>0</v>
      </c>
      <c r="K79" s="378"/>
      <c r="L79" s="378"/>
      <c r="M79" s="365"/>
      <c r="N79" s="379">
        <f t="shared" si="56"/>
        <v>945</v>
      </c>
      <c r="O79" s="382">
        <f t="shared" si="38"/>
        <v>61056.45</v>
      </c>
      <c r="P79" s="370">
        <f t="shared" si="39"/>
        <v>945</v>
      </c>
      <c r="Q79" s="172">
        <v>0.01</v>
      </c>
      <c r="R79" s="371">
        <f t="shared" si="40"/>
        <v>610.56449999999995</v>
      </c>
      <c r="S79" s="172">
        <v>0.04</v>
      </c>
      <c r="T79" s="371">
        <f t="shared" si="41"/>
        <v>2442.2579999999998</v>
      </c>
      <c r="U79" s="372">
        <f t="shared" si="42"/>
        <v>3</v>
      </c>
      <c r="V79" s="172">
        <v>0.95</v>
      </c>
      <c r="W79" s="371">
        <f t="shared" si="43"/>
        <v>58003.627499999995</v>
      </c>
      <c r="X79" s="373"/>
      <c r="Y79" s="373"/>
      <c r="Z79" s="373"/>
      <c r="AA79" s="373"/>
      <c r="AB79" s="373"/>
      <c r="AC79" s="373">
        <f>+$R79</f>
        <v>610.56449999999995</v>
      </c>
      <c r="AD79" s="373">
        <f>+$T79/3</f>
        <v>814.0859999999999</v>
      </c>
      <c r="AE79" s="373">
        <f>+$T79/3</f>
        <v>814.0859999999999</v>
      </c>
      <c r="AF79" s="373">
        <f>+$T79/3</f>
        <v>814.0859999999999</v>
      </c>
      <c r="AG79" s="373">
        <f>+$W79</f>
        <v>58003.627499999995</v>
      </c>
      <c r="AH79" s="373">
        <v>0</v>
      </c>
      <c r="AI79" s="373">
        <v>0</v>
      </c>
      <c r="AJ79" s="373">
        <v>0</v>
      </c>
      <c r="AK79" s="373">
        <v>0</v>
      </c>
      <c r="AL79" s="373">
        <v>0</v>
      </c>
      <c r="AM79" s="373">
        <v>0</v>
      </c>
      <c r="AN79" s="373">
        <v>0</v>
      </c>
      <c r="AO79" s="373">
        <v>0</v>
      </c>
      <c r="AP79" s="373">
        <v>0</v>
      </c>
      <c r="AQ79" s="373">
        <v>0</v>
      </c>
      <c r="AR79" s="373">
        <v>0</v>
      </c>
      <c r="AS79" s="373">
        <v>0</v>
      </c>
      <c r="AT79" s="373">
        <v>0</v>
      </c>
      <c r="AU79" s="373">
        <v>0</v>
      </c>
      <c r="AV79" s="373">
        <v>0</v>
      </c>
      <c r="AW79" s="373">
        <v>0</v>
      </c>
      <c r="AX79" s="373">
        <v>0</v>
      </c>
      <c r="AY79" s="373">
        <v>0</v>
      </c>
      <c r="AZ79" s="373">
        <v>0</v>
      </c>
      <c r="BA79" s="373">
        <v>0</v>
      </c>
      <c r="BB79" s="373">
        <v>0</v>
      </c>
      <c r="BC79" s="373">
        <v>0</v>
      </c>
      <c r="BD79" s="373">
        <v>0</v>
      </c>
      <c r="BE79" s="373">
        <v>0</v>
      </c>
      <c r="BF79" s="373">
        <v>0</v>
      </c>
      <c r="BG79" s="373">
        <v>0</v>
      </c>
      <c r="BH79" s="373">
        <v>0</v>
      </c>
      <c r="BI79" s="373">
        <v>0</v>
      </c>
      <c r="BJ79" s="373">
        <v>0</v>
      </c>
      <c r="BK79" s="373">
        <v>0</v>
      </c>
      <c r="BL79" s="373">
        <v>0</v>
      </c>
      <c r="BM79" s="373">
        <v>0</v>
      </c>
      <c r="BN79" s="373">
        <v>0</v>
      </c>
      <c r="BO79" s="373">
        <v>0</v>
      </c>
      <c r="BP79" s="373">
        <v>0</v>
      </c>
      <c r="BQ79" s="373">
        <v>0</v>
      </c>
      <c r="BR79" s="373">
        <v>0</v>
      </c>
      <c r="BS79" s="373">
        <v>0</v>
      </c>
      <c r="BT79" s="373">
        <v>0</v>
      </c>
      <c r="BU79" s="373">
        <v>0</v>
      </c>
      <c r="BV79" s="373">
        <v>0</v>
      </c>
      <c r="BW79" s="373">
        <v>0</v>
      </c>
      <c r="BX79" s="373">
        <v>0</v>
      </c>
      <c r="BY79" s="373">
        <v>0</v>
      </c>
      <c r="BZ79" s="373">
        <v>0</v>
      </c>
      <c r="CA79" s="373">
        <v>0</v>
      </c>
      <c r="CB79" s="373">
        <v>0</v>
      </c>
      <c r="CC79" s="373">
        <v>0</v>
      </c>
      <c r="CD79" s="373">
        <v>0</v>
      </c>
      <c r="CE79" s="373">
        <v>0</v>
      </c>
      <c r="CF79" s="373">
        <v>0</v>
      </c>
      <c r="CG79" s="373">
        <v>0</v>
      </c>
      <c r="CH79" s="373">
        <v>0</v>
      </c>
      <c r="CI79" s="373">
        <v>0</v>
      </c>
      <c r="CJ79" s="373">
        <v>0</v>
      </c>
      <c r="CK79" s="373">
        <v>0</v>
      </c>
      <c r="CL79" s="373">
        <v>0</v>
      </c>
      <c r="CM79" s="373">
        <v>0</v>
      </c>
      <c r="CN79" s="373">
        <v>0</v>
      </c>
      <c r="CO79" s="373">
        <v>0</v>
      </c>
      <c r="CP79" s="373">
        <v>0</v>
      </c>
      <c r="CQ79" s="373">
        <v>0</v>
      </c>
      <c r="CR79" s="373">
        <v>0</v>
      </c>
      <c r="CS79" s="365">
        <v>0</v>
      </c>
      <c r="CT79" s="373">
        <v>0</v>
      </c>
      <c r="CU79" s="373">
        <v>0</v>
      </c>
      <c r="CV79" s="373">
        <v>0</v>
      </c>
      <c r="CW79" s="373">
        <v>0</v>
      </c>
      <c r="CX79" s="373">
        <v>0</v>
      </c>
      <c r="CY79" s="373">
        <v>0</v>
      </c>
      <c r="CZ79" s="373">
        <v>0</v>
      </c>
      <c r="DA79" s="373">
        <v>0</v>
      </c>
      <c r="DB79" s="373">
        <v>0</v>
      </c>
      <c r="DC79" s="373">
        <v>0</v>
      </c>
      <c r="DD79" s="373">
        <v>0</v>
      </c>
      <c r="DE79" s="373">
        <v>0</v>
      </c>
      <c r="DF79" s="373">
        <v>0</v>
      </c>
      <c r="DG79" s="373">
        <v>0</v>
      </c>
      <c r="DH79" s="373">
        <v>0</v>
      </c>
      <c r="DI79" s="373">
        <v>0</v>
      </c>
      <c r="DJ79" s="373">
        <v>0</v>
      </c>
      <c r="DK79" s="373">
        <v>0</v>
      </c>
      <c r="DL79" s="373">
        <v>0</v>
      </c>
      <c r="DM79" s="373">
        <v>0</v>
      </c>
      <c r="DN79" s="373">
        <v>0</v>
      </c>
      <c r="DO79" s="373">
        <v>0</v>
      </c>
      <c r="DP79" s="373">
        <v>0</v>
      </c>
      <c r="DQ79" s="373">
        <v>0</v>
      </c>
      <c r="DR79" s="373">
        <v>0</v>
      </c>
      <c r="DS79" s="365">
        <v>0</v>
      </c>
      <c r="DT79" s="374">
        <f t="shared" si="44"/>
        <v>61056.45</v>
      </c>
      <c r="DU79" s="375">
        <f t="shared" si="45"/>
        <v>0</v>
      </c>
      <c r="DV79" s="376"/>
      <c r="DW79" s="138" t="b">
        <f t="shared" si="46"/>
        <v>1</v>
      </c>
    </row>
    <row r="80" spans="1:127" s="138" customFormat="1" ht="12" customHeight="1">
      <c r="A80" s="169" t="s">
        <v>430</v>
      </c>
      <c r="B80" s="170"/>
      <c r="C80" s="171" t="s">
        <v>282</v>
      </c>
      <c r="D80" s="171"/>
      <c r="E80" s="365">
        <f t="shared" si="53"/>
        <v>64.61</v>
      </c>
      <c r="F80" s="365">
        <f t="shared" si="54"/>
        <v>0</v>
      </c>
      <c r="G80" s="365">
        <f t="shared" si="52"/>
        <v>64.61</v>
      </c>
      <c r="H80" s="365">
        <f t="shared" si="55"/>
        <v>0</v>
      </c>
      <c r="I80" s="365">
        <f t="shared" si="47"/>
        <v>149.1</v>
      </c>
      <c r="J80" s="366">
        <f t="shared" si="37"/>
        <v>0</v>
      </c>
      <c r="K80" s="378"/>
      <c r="L80" s="378"/>
      <c r="M80" s="365"/>
      <c r="N80" s="379">
        <f t="shared" si="56"/>
        <v>945</v>
      </c>
      <c r="O80" s="382">
        <f t="shared" si="38"/>
        <v>61056.45</v>
      </c>
      <c r="P80" s="370">
        <f t="shared" si="39"/>
        <v>945</v>
      </c>
      <c r="Q80" s="172">
        <v>0.01</v>
      </c>
      <c r="R80" s="371">
        <f t="shared" si="40"/>
        <v>610.56449999999995</v>
      </c>
      <c r="S80" s="172">
        <v>0.04</v>
      </c>
      <c r="T80" s="371">
        <f t="shared" si="41"/>
        <v>2442.2579999999998</v>
      </c>
      <c r="U80" s="372">
        <f t="shared" si="42"/>
        <v>1</v>
      </c>
      <c r="V80" s="172">
        <v>0.95</v>
      </c>
      <c r="W80" s="371">
        <f t="shared" si="43"/>
        <v>58003.627499999995</v>
      </c>
      <c r="X80" s="373"/>
      <c r="Y80" s="373"/>
      <c r="Z80" s="373"/>
      <c r="AA80" s="373"/>
      <c r="AB80" s="373"/>
      <c r="AC80" s="373">
        <f>+$R80</f>
        <v>610.56449999999995</v>
      </c>
      <c r="AD80" s="373">
        <f>+$T80/1</f>
        <v>2442.2579999999998</v>
      </c>
      <c r="AE80" s="373">
        <f>+$W80</f>
        <v>58003.627499999995</v>
      </c>
      <c r="AF80" s="373">
        <v>0</v>
      </c>
      <c r="AG80" s="373">
        <v>0</v>
      </c>
      <c r="AH80" s="373">
        <v>0</v>
      </c>
      <c r="AI80" s="373">
        <v>0</v>
      </c>
      <c r="AJ80" s="373">
        <v>0</v>
      </c>
      <c r="AK80" s="373">
        <v>0</v>
      </c>
      <c r="AL80" s="373">
        <v>0</v>
      </c>
      <c r="AM80" s="373">
        <v>0</v>
      </c>
      <c r="AN80" s="373">
        <v>0</v>
      </c>
      <c r="AO80" s="373">
        <v>0</v>
      </c>
      <c r="AP80" s="373">
        <v>0</v>
      </c>
      <c r="AQ80" s="373">
        <v>0</v>
      </c>
      <c r="AR80" s="373">
        <v>0</v>
      </c>
      <c r="AS80" s="373">
        <v>0</v>
      </c>
      <c r="AT80" s="373">
        <v>0</v>
      </c>
      <c r="AU80" s="373">
        <v>0</v>
      </c>
      <c r="AV80" s="373">
        <v>0</v>
      </c>
      <c r="AW80" s="373">
        <v>0</v>
      </c>
      <c r="AX80" s="373">
        <v>0</v>
      </c>
      <c r="AY80" s="373">
        <v>0</v>
      </c>
      <c r="AZ80" s="373">
        <v>0</v>
      </c>
      <c r="BA80" s="373">
        <v>0</v>
      </c>
      <c r="BB80" s="373">
        <v>0</v>
      </c>
      <c r="BC80" s="373">
        <v>0</v>
      </c>
      <c r="BD80" s="373">
        <v>0</v>
      </c>
      <c r="BE80" s="373">
        <v>0</v>
      </c>
      <c r="BF80" s="373">
        <v>0</v>
      </c>
      <c r="BG80" s="373">
        <v>0</v>
      </c>
      <c r="BH80" s="373">
        <v>0</v>
      </c>
      <c r="BI80" s="373">
        <v>0</v>
      </c>
      <c r="BJ80" s="373">
        <v>0</v>
      </c>
      <c r="BK80" s="373">
        <v>0</v>
      </c>
      <c r="BL80" s="373">
        <v>0</v>
      </c>
      <c r="BM80" s="373">
        <v>0</v>
      </c>
      <c r="BN80" s="373">
        <v>0</v>
      </c>
      <c r="BO80" s="373">
        <v>0</v>
      </c>
      <c r="BP80" s="373">
        <v>0</v>
      </c>
      <c r="BQ80" s="373">
        <v>0</v>
      </c>
      <c r="BR80" s="373">
        <v>0</v>
      </c>
      <c r="BS80" s="373">
        <v>0</v>
      </c>
      <c r="BT80" s="373">
        <v>0</v>
      </c>
      <c r="BU80" s="373">
        <v>0</v>
      </c>
      <c r="BV80" s="373">
        <v>0</v>
      </c>
      <c r="BW80" s="373">
        <v>0</v>
      </c>
      <c r="BX80" s="373">
        <v>0</v>
      </c>
      <c r="BY80" s="373">
        <v>0</v>
      </c>
      <c r="BZ80" s="373">
        <v>0</v>
      </c>
      <c r="CA80" s="373">
        <v>0</v>
      </c>
      <c r="CB80" s="373">
        <v>0</v>
      </c>
      <c r="CC80" s="373">
        <v>0</v>
      </c>
      <c r="CD80" s="373">
        <v>0</v>
      </c>
      <c r="CE80" s="373">
        <v>0</v>
      </c>
      <c r="CF80" s="373">
        <v>0</v>
      </c>
      <c r="CG80" s="373">
        <v>0</v>
      </c>
      <c r="CH80" s="373">
        <v>0</v>
      </c>
      <c r="CI80" s="373">
        <v>0</v>
      </c>
      <c r="CJ80" s="373">
        <v>0</v>
      </c>
      <c r="CK80" s="373">
        <v>0</v>
      </c>
      <c r="CL80" s="373">
        <v>0</v>
      </c>
      <c r="CM80" s="373">
        <v>0</v>
      </c>
      <c r="CN80" s="373">
        <v>0</v>
      </c>
      <c r="CO80" s="373">
        <v>0</v>
      </c>
      <c r="CP80" s="373">
        <v>0</v>
      </c>
      <c r="CQ80" s="373">
        <v>0</v>
      </c>
      <c r="CR80" s="373">
        <v>0</v>
      </c>
      <c r="CS80" s="365">
        <v>0</v>
      </c>
      <c r="CT80" s="373">
        <v>0</v>
      </c>
      <c r="CU80" s="373">
        <v>0</v>
      </c>
      <c r="CV80" s="373">
        <v>0</v>
      </c>
      <c r="CW80" s="373">
        <v>0</v>
      </c>
      <c r="CX80" s="373">
        <v>0</v>
      </c>
      <c r="CY80" s="373">
        <v>0</v>
      </c>
      <c r="CZ80" s="373">
        <v>0</v>
      </c>
      <c r="DA80" s="373">
        <v>0</v>
      </c>
      <c r="DB80" s="373">
        <v>0</v>
      </c>
      <c r="DC80" s="373">
        <v>0</v>
      </c>
      <c r="DD80" s="373">
        <v>0</v>
      </c>
      <c r="DE80" s="373">
        <v>0</v>
      </c>
      <c r="DF80" s="373">
        <v>0</v>
      </c>
      <c r="DG80" s="373">
        <v>0</v>
      </c>
      <c r="DH80" s="373">
        <v>0</v>
      </c>
      <c r="DI80" s="373">
        <v>0</v>
      </c>
      <c r="DJ80" s="373">
        <v>0</v>
      </c>
      <c r="DK80" s="373">
        <v>0</v>
      </c>
      <c r="DL80" s="373">
        <v>0</v>
      </c>
      <c r="DM80" s="373">
        <v>0</v>
      </c>
      <c r="DN80" s="373">
        <v>0</v>
      </c>
      <c r="DO80" s="373">
        <v>0</v>
      </c>
      <c r="DP80" s="373">
        <v>0</v>
      </c>
      <c r="DQ80" s="373">
        <v>0</v>
      </c>
      <c r="DR80" s="373">
        <v>0</v>
      </c>
      <c r="DS80" s="365">
        <v>0</v>
      </c>
      <c r="DT80" s="374">
        <f t="shared" si="44"/>
        <v>61056.45</v>
      </c>
      <c r="DU80" s="375">
        <f t="shared" si="45"/>
        <v>0</v>
      </c>
      <c r="DV80" s="376"/>
      <c r="DW80" s="138" t="b">
        <f t="shared" si="46"/>
        <v>1</v>
      </c>
    </row>
    <row r="81" spans="1:127" s="138" customFormat="1" ht="12" customHeight="1">
      <c r="A81" s="169" t="s">
        <v>431</v>
      </c>
      <c r="B81" s="170"/>
      <c r="C81" s="171" t="s">
        <v>282</v>
      </c>
      <c r="D81" s="171"/>
      <c r="E81" s="365">
        <f t="shared" si="53"/>
        <v>64.61</v>
      </c>
      <c r="F81" s="365">
        <f t="shared" si="54"/>
        <v>0</v>
      </c>
      <c r="G81" s="365">
        <f t="shared" si="52"/>
        <v>64.61</v>
      </c>
      <c r="H81" s="365">
        <f t="shared" si="55"/>
        <v>0</v>
      </c>
      <c r="I81" s="365">
        <f t="shared" si="47"/>
        <v>149.1</v>
      </c>
      <c r="J81" s="366">
        <f t="shared" ref="J81:J112" si="57">H81*I81</f>
        <v>0</v>
      </c>
      <c r="K81" s="378" t="s">
        <v>432</v>
      </c>
      <c r="L81" s="378" t="s">
        <v>329</v>
      </c>
      <c r="M81" s="365">
        <v>5000</v>
      </c>
      <c r="N81" s="379">
        <f t="shared" si="56"/>
        <v>945</v>
      </c>
      <c r="O81" s="382">
        <f t="shared" ref="O81:O112" si="58">+ROUND((G81*N81),2)+J81+M81</f>
        <v>66056.45</v>
      </c>
      <c r="P81" s="370">
        <f t="shared" ref="P81:P112" si="59">O81/(G81)</f>
        <v>1022.3874013310633</v>
      </c>
      <c r="Q81" s="172">
        <v>0.01</v>
      </c>
      <c r="R81" s="371">
        <f t="shared" ref="R81:R112" si="60">O81*Q81</f>
        <v>660.56449999999995</v>
      </c>
      <c r="S81" s="172">
        <v>0.04</v>
      </c>
      <c r="T81" s="371">
        <f t="shared" ref="T81:T112" si="61">O81*S81</f>
        <v>2642.2579999999998</v>
      </c>
      <c r="U81" s="372">
        <f t="shared" ref="U81:U116" si="62">COUNTIF(X81:DS81,"&gt;0")-2</f>
        <v>5</v>
      </c>
      <c r="V81" s="172">
        <v>0.95</v>
      </c>
      <c r="W81" s="371">
        <f t="shared" ref="W81:W112" si="63">+O81*V81</f>
        <v>62753.627499999995</v>
      </c>
      <c r="X81" s="373"/>
      <c r="Y81" s="373"/>
      <c r="Z81" s="373"/>
      <c r="AA81" s="373"/>
      <c r="AB81" s="373"/>
      <c r="AC81" s="373">
        <f>+$R81</f>
        <v>660.56449999999995</v>
      </c>
      <c r="AD81" s="373">
        <f>+$T81/5</f>
        <v>528.45159999999998</v>
      </c>
      <c r="AE81" s="373">
        <f>+$T81/5</f>
        <v>528.45159999999998</v>
      </c>
      <c r="AF81" s="373">
        <f>+$T81/5</f>
        <v>528.45159999999998</v>
      </c>
      <c r="AG81" s="373">
        <f>+$T81/5</f>
        <v>528.45159999999998</v>
      </c>
      <c r="AH81" s="373">
        <f>+$T81/5</f>
        <v>528.45159999999998</v>
      </c>
      <c r="AI81" s="373">
        <f>+$W81</f>
        <v>62753.627499999995</v>
      </c>
      <c r="AJ81" s="373">
        <v>0</v>
      </c>
      <c r="AK81" s="373">
        <v>0</v>
      </c>
      <c r="AL81" s="373">
        <v>0</v>
      </c>
      <c r="AM81" s="373">
        <v>0</v>
      </c>
      <c r="AN81" s="373">
        <v>0</v>
      </c>
      <c r="AO81" s="373">
        <v>0</v>
      </c>
      <c r="AP81" s="373">
        <v>0</v>
      </c>
      <c r="AQ81" s="373">
        <v>0</v>
      </c>
      <c r="AR81" s="373">
        <v>0</v>
      </c>
      <c r="AS81" s="373">
        <v>0</v>
      </c>
      <c r="AT81" s="373">
        <v>0</v>
      </c>
      <c r="AU81" s="373">
        <v>0</v>
      </c>
      <c r="AV81" s="373">
        <v>0</v>
      </c>
      <c r="AW81" s="373">
        <v>0</v>
      </c>
      <c r="AX81" s="373">
        <v>0</v>
      </c>
      <c r="AY81" s="373">
        <v>0</v>
      </c>
      <c r="AZ81" s="373">
        <v>0</v>
      </c>
      <c r="BA81" s="373">
        <v>0</v>
      </c>
      <c r="BB81" s="373">
        <v>0</v>
      </c>
      <c r="BC81" s="373">
        <v>0</v>
      </c>
      <c r="BD81" s="373">
        <v>0</v>
      </c>
      <c r="BE81" s="373">
        <v>0</v>
      </c>
      <c r="BF81" s="373">
        <v>0</v>
      </c>
      <c r="BG81" s="373">
        <v>0</v>
      </c>
      <c r="BH81" s="373">
        <v>0</v>
      </c>
      <c r="BI81" s="373">
        <v>0</v>
      </c>
      <c r="BJ81" s="373">
        <v>0</v>
      </c>
      <c r="BK81" s="373">
        <v>0</v>
      </c>
      <c r="BL81" s="373">
        <v>0</v>
      </c>
      <c r="BM81" s="373">
        <v>0</v>
      </c>
      <c r="BN81" s="373">
        <v>0</v>
      </c>
      <c r="BO81" s="373">
        <v>0</v>
      </c>
      <c r="BP81" s="373">
        <v>0</v>
      </c>
      <c r="BQ81" s="373">
        <v>0</v>
      </c>
      <c r="BR81" s="373">
        <v>0</v>
      </c>
      <c r="BS81" s="373">
        <v>0</v>
      </c>
      <c r="BT81" s="373">
        <v>0</v>
      </c>
      <c r="BU81" s="373">
        <v>0</v>
      </c>
      <c r="BV81" s="373">
        <v>0</v>
      </c>
      <c r="BW81" s="373">
        <v>0</v>
      </c>
      <c r="BX81" s="373">
        <v>0</v>
      </c>
      <c r="BY81" s="373">
        <v>0</v>
      </c>
      <c r="BZ81" s="373">
        <v>0</v>
      </c>
      <c r="CA81" s="373">
        <v>0</v>
      </c>
      <c r="CB81" s="373">
        <v>0</v>
      </c>
      <c r="CC81" s="373">
        <v>0</v>
      </c>
      <c r="CD81" s="373">
        <v>0</v>
      </c>
      <c r="CE81" s="373">
        <v>0</v>
      </c>
      <c r="CF81" s="373">
        <v>0</v>
      </c>
      <c r="CG81" s="373">
        <v>0</v>
      </c>
      <c r="CH81" s="373">
        <v>0</v>
      </c>
      <c r="CI81" s="373">
        <v>0</v>
      </c>
      <c r="CJ81" s="373">
        <v>0</v>
      </c>
      <c r="CK81" s="373">
        <v>0</v>
      </c>
      <c r="CL81" s="373">
        <v>0</v>
      </c>
      <c r="CM81" s="373">
        <v>0</v>
      </c>
      <c r="CN81" s="373">
        <v>0</v>
      </c>
      <c r="CO81" s="373">
        <v>0</v>
      </c>
      <c r="CP81" s="373">
        <v>0</v>
      </c>
      <c r="CQ81" s="373">
        <v>0</v>
      </c>
      <c r="CR81" s="373">
        <v>0</v>
      </c>
      <c r="CS81" s="365">
        <v>0</v>
      </c>
      <c r="CT81" s="373">
        <v>0</v>
      </c>
      <c r="CU81" s="373">
        <v>0</v>
      </c>
      <c r="CV81" s="373">
        <v>0</v>
      </c>
      <c r="CW81" s="373">
        <v>0</v>
      </c>
      <c r="CX81" s="373">
        <v>0</v>
      </c>
      <c r="CY81" s="373">
        <v>0</v>
      </c>
      <c r="CZ81" s="373">
        <v>0</v>
      </c>
      <c r="DA81" s="373">
        <v>0</v>
      </c>
      <c r="DB81" s="373">
        <v>0</v>
      </c>
      <c r="DC81" s="373">
        <v>0</v>
      </c>
      <c r="DD81" s="373">
        <v>0</v>
      </c>
      <c r="DE81" s="373">
        <v>0</v>
      </c>
      <c r="DF81" s="373">
        <v>0</v>
      </c>
      <c r="DG81" s="373">
        <v>0</v>
      </c>
      <c r="DH81" s="373">
        <v>0</v>
      </c>
      <c r="DI81" s="373">
        <v>0</v>
      </c>
      <c r="DJ81" s="373">
        <v>0</v>
      </c>
      <c r="DK81" s="373">
        <v>0</v>
      </c>
      <c r="DL81" s="373">
        <v>0</v>
      </c>
      <c r="DM81" s="373">
        <v>0</v>
      </c>
      <c r="DN81" s="373">
        <v>0</v>
      </c>
      <c r="DO81" s="373">
        <v>0</v>
      </c>
      <c r="DP81" s="373">
        <v>0</v>
      </c>
      <c r="DQ81" s="373">
        <v>0</v>
      </c>
      <c r="DR81" s="373">
        <v>0</v>
      </c>
      <c r="DS81" s="365">
        <v>0</v>
      </c>
      <c r="DT81" s="374">
        <f t="shared" ref="DT81:DT116" si="64">SUM(X81:DR81)</f>
        <v>66056.45</v>
      </c>
      <c r="DU81" s="375">
        <f t="shared" ref="DU81:DU112" si="65">+O81-DT81</f>
        <v>0</v>
      </c>
      <c r="DV81" s="376"/>
      <c r="DW81" s="138" t="b">
        <f t="shared" ref="DW81:DW117" si="66">O81=DT81</f>
        <v>1</v>
      </c>
    </row>
    <row r="82" spans="1:127" s="138" customFormat="1" ht="12" customHeight="1">
      <c r="A82" s="169" t="s">
        <v>433</v>
      </c>
      <c r="B82" s="170"/>
      <c r="C82" s="171" t="s">
        <v>282</v>
      </c>
      <c r="D82" s="171"/>
      <c r="E82" s="365">
        <f t="shared" si="53"/>
        <v>64.61</v>
      </c>
      <c r="F82" s="365">
        <f t="shared" si="54"/>
        <v>0</v>
      </c>
      <c r="G82" s="365">
        <f t="shared" si="52"/>
        <v>64.61</v>
      </c>
      <c r="H82" s="365">
        <f t="shared" si="55"/>
        <v>0</v>
      </c>
      <c r="I82" s="365">
        <f t="shared" ref="I82:I116" si="67">$I$17</f>
        <v>149.1</v>
      </c>
      <c r="J82" s="366">
        <f t="shared" si="57"/>
        <v>0</v>
      </c>
      <c r="K82" s="378" t="s">
        <v>434</v>
      </c>
      <c r="L82" s="378" t="s">
        <v>329</v>
      </c>
      <c r="M82" s="365">
        <v>5000</v>
      </c>
      <c r="N82" s="379">
        <f t="shared" si="56"/>
        <v>945</v>
      </c>
      <c r="O82" s="385">
        <f t="shared" si="58"/>
        <v>66056.45</v>
      </c>
      <c r="P82" s="370">
        <f t="shared" si="59"/>
        <v>1022.3874013310633</v>
      </c>
      <c r="Q82" s="172">
        <v>0.01</v>
      </c>
      <c r="R82" s="371">
        <f t="shared" si="60"/>
        <v>660.56449999999995</v>
      </c>
      <c r="S82" s="172">
        <v>0.04</v>
      </c>
      <c r="T82" s="371">
        <f t="shared" si="61"/>
        <v>2642.2579999999998</v>
      </c>
      <c r="U82" s="372">
        <f t="shared" si="62"/>
        <v>3</v>
      </c>
      <c r="V82" s="172">
        <v>0.95</v>
      </c>
      <c r="W82" s="371">
        <f t="shared" si="63"/>
        <v>62753.627499999995</v>
      </c>
      <c r="X82" s="373"/>
      <c r="Y82" s="373"/>
      <c r="Z82" s="373"/>
      <c r="AA82" s="373"/>
      <c r="AB82" s="373"/>
      <c r="AC82" s="373">
        <f>+$R82</f>
        <v>660.56449999999995</v>
      </c>
      <c r="AD82" s="373">
        <f>+$T82/3</f>
        <v>880.75266666666664</v>
      </c>
      <c r="AE82" s="373">
        <f>+$T82/3</f>
        <v>880.75266666666664</v>
      </c>
      <c r="AF82" s="373">
        <f>+$T82/3</f>
        <v>880.75266666666664</v>
      </c>
      <c r="AG82" s="373">
        <f>+$W82</f>
        <v>62753.627499999995</v>
      </c>
      <c r="AH82" s="373">
        <v>0</v>
      </c>
      <c r="AI82" s="373">
        <v>0</v>
      </c>
      <c r="AJ82" s="373">
        <v>0</v>
      </c>
      <c r="AK82" s="373">
        <v>0</v>
      </c>
      <c r="AL82" s="373">
        <v>0</v>
      </c>
      <c r="AM82" s="373">
        <v>0</v>
      </c>
      <c r="AN82" s="373">
        <v>0</v>
      </c>
      <c r="AO82" s="373">
        <v>0</v>
      </c>
      <c r="AP82" s="373">
        <v>0</v>
      </c>
      <c r="AQ82" s="373">
        <v>0</v>
      </c>
      <c r="AR82" s="373">
        <v>0</v>
      </c>
      <c r="AS82" s="373">
        <v>0</v>
      </c>
      <c r="AT82" s="373">
        <v>0</v>
      </c>
      <c r="AU82" s="373">
        <v>0</v>
      </c>
      <c r="AV82" s="373">
        <v>0</v>
      </c>
      <c r="AW82" s="373">
        <v>0</v>
      </c>
      <c r="AX82" s="373">
        <v>0</v>
      </c>
      <c r="AY82" s="373">
        <v>0</v>
      </c>
      <c r="AZ82" s="373">
        <v>0</v>
      </c>
      <c r="BA82" s="373">
        <v>0</v>
      </c>
      <c r="BB82" s="373">
        <v>0</v>
      </c>
      <c r="BC82" s="373">
        <v>0</v>
      </c>
      <c r="BD82" s="373">
        <v>0</v>
      </c>
      <c r="BE82" s="373">
        <v>0</v>
      </c>
      <c r="BF82" s="373">
        <v>0</v>
      </c>
      <c r="BG82" s="373">
        <v>0</v>
      </c>
      <c r="BH82" s="373">
        <v>0</v>
      </c>
      <c r="BI82" s="373">
        <v>0</v>
      </c>
      <c r="BJ82" s="373">
        <v>0</v>
      </c>
      <c r="BK82" s="373">
        <v>0</v>
      </c>
      <c r="BL82" s="373">
        <v>0</v>
      </c>
      <c r="BM82" s="373">
        <v>0</v>
      </c>
      <c r="BN82" s="373">
        <v>0</v>
      </c>
      <c r="BO82" s="373">
        <v>0</v>
      </c>
      <c r="BP82" s="373">
        <v>0</v>
      </c>
      <c r="BQ82" s="373">
        <v>0</v>
      </c>
      <c r="BR82" s="373">
        <v>0</v>
      </c>
      <c r="BS82" s="373">
        <v>0</v>
      </c>
      <c r="BT82" s="373">
        <v>0</v>
      </c>
      <c r="BU82" s="373">
        <v>0</v>
      </c>
      <c r="BV82" s="373">
        <v>0</v>
      </c>
      <c r="BW82" s="373">
        <v>0</v>
      </c>
      <c r="BX82" s="373">
        <v>0</v>
      </c>
      <c r="BY82" s="373">
        <v>0</v>
      </c>
      <c r="BZ82" s="373">
        <v>0</v>
      </c>
      <c r="CA82" s="373">
        <v>0</v>
      </c>
      <c r="CB82" s="373">
        <v>0</v>
      </c>
      <c r="CC82" s="373">
        <v>0</v>
      </c>
      <c r="CD82" s="373">
        <v>0</v>
      </c>
      <c r="CE82" s="373">
        <v>0</v>
      </c>
      <c r="CF82" s="373">
        <v>0</v>
      </c>
      <c r="CG82" s="373">
        <v>0</v>
      </c>
      <c r="CH82" s="373">
        <v>0</v>
      </c>
      <c r="CI82" s="373">
        <v>0</v>
      </c>
      <c r="CJ82" s="373">
        <v>0</v>
      </c>
      <c r="CK82" s="373">
        <v>0</v>
      </c>
      <c r="CL82" s="373">
        <v>0</v>
      </c>
      <c r="CM82" s="373">
        <v>0</v>
      </c>
      <c r="CN82" s="373">
        <v>0</v>
      </c>
      <c r="CO82" s="373">
        <v>0</v>
      </c>
      <c r="CP82" s="373">
        <v>0</v>
      </c>
      <c r="CQ82" s="373">
        <v>0</v>
      </c>
      <c r="CR82" s="373">
        <v>0</v>
      </c>
      <c r="CS82" s="365">
        <v>0</v>
      </c>
      <c r="CT82" s="373">
        <v>0</v>
      </c>
      <c r="CU82" s="373">
        <v>0</v>
      </c>
      <c r="CV82" s="373">
        <v>0</v>
      </c>
      <c r="CW82" s="373">
        <v>0</v>
      </c>
      <c r="CX82" s="373">
        <v>0</v>
      </c>
      <c r="CY82" s="373">
        <v>0</v>
      </c>
      <c r="CZ82" s="373">
        <v>0</v>
      </c>
      <c r="DA82" s="373">
        <v>0</v>
      </c>
      <c r="DB82" s="373">
        <v>0</v>
      </c>
      <c r="DC82" s="373">
        <v>0</v>
      </c>
      <c r="DD82" s="373">
        <v>0</v>
      </c>
      <c r="DE82" s="373">
        <v>0</v>
      </c>
      <c r="DF82" s="373">
        <v>0</v>
      </c>
      <c r="DG82" s="373">
        <v>0</v>
      </c>
      <c r="DH82" s="373">
        <v>0</v>
      </c>
      <c r="DI82" s="373">
        <v>0</v>
      </c>
      <c r="DJ82" s="373">
        <v>0</v>
      </c>
      <c r="DK82" s="373">
        <v>0</v>
      </c>
      <c r="DL82" s="373">
        <v>0</v>
      </c>
      <c r="DM82" s="373">
        <v>0</v>
      </c>
      <c r="DN82" s="373">
        <v>0</v>
      </c>
      <c r="DO82" s="373">
        <v>0</v>
      </c>
      <c r="DP82" s="373">
        <v>0</v>
      </c>
      <c r="DQ82" s="373">
        <v>0</v>
      </c>
      <c r="DR82" s="373">
        <v>0</v>
      </c>
      <c r="DS82" s="365">
        <v>0</v>
      </c>
      <c r="DT82" s="374">
        <f t="shared" si="64"/>
        <v>66056.45</v>
      </c>
      <c r="DU82" s="375">
        <f t="shared" si="65"/>
        <v>0</v>
      </c>
      <c r="DV82" s="376"/>
      <c r="DW82" s="138" t="b">
        <f t="shared" si="66"/>
        <v>1</v>
      </c>
    </row>
    <row r="83" spans="1:127" s="138" customFormat="1" ht="12" customHeight="1">
      <c r="A83" s="169" t="s">
        <v>435</v>
      </c>
      <c r="B83" s="170"/>
      <c r="C83" s="171" t="s">
        <v>282</v>
      </c>
      <c r="D83" s="171"/>
      <c r="E83" s="365">
        <f t="shared" si="53"/>
        <v>64.61</v>
      </c>
      <c r="F83" s="365">
        <f t="shared" si="54"/>
        <v>0</v>
      </c>
      <c r="G83" s="365">
        <f t="shared" si="52"/>
        <v>64.61</v>
      </c>
      <c r="H83" s="365">
        <f t="shared" si="55"/>
        <v>0</v>
      </c>
      <c r="I83" s="365">
        <f t="shared" si="67"/>
        <v>149.1</v>
      </c>
      <c r="J83" s="366">
        <f t="shared" si="57"/>
        <v>0</v>
      </c>
      <c r="K83" s="378" t="s">
        <v>436</v>
      </c>
      <c r="L83" s="378" t="s">
        <v>329</v>
      </c>
      <c r="M83" s="365">
        <v>5000</v>
      </c>
      <c r="N83" s="379">
        <f t="shared" si="56"/>
        <v>945</v>
      </c>
      <c r="O83" s="385">
        <f t="shared" si="58"/>
        <v>66056.45</v>
      </c>
      <c r="P83" s="370">
        <f t="shared" si="59"/>
        <v>1022.3874013310633</v>
      </c>
      <c r="Q83" s="172">
        <v>0.01</v>
      </c>
      <c r="R83" s="371">
        <f t="shared" si="60"/>
        <v>660.56449999999995</v>
      </c>
      <c r="S83" s="172">
        <v>0.04</v>
      </c>
      <c r="T83" s="371">
        <f t="shared" si="61"/>
        <v>2642.2579999999998</v>
      </c>
      <c r="U83" s="372">
        <f t="shared" si="62"/>
        <v>1</v>
      </c>
      <c r="V83" s="172">
        <v>0.95</v>
      </c>
      <c r="W83" s="371">
        <f t="shared" si="63"/>
        <v>62753.627499999995</v>
      </c>
      <c r="X83" s="373"/>
      <c r="Y83" s="373"/>
      <c r="Z83" s="373"/>
      <c r="AA83" s="373"/>
      <c r="AB83" s="373"/>
      <c r="AC83" s="373"/>
      <c r="AD83" s="373">
        <f>+$R83</f>
        <v>660.56449999999995</v>
      </c>
      <c r="AE83" s="373">
        <f>+$T83/1</f>
        <v>2642.2579999999998</v>
      </c>
      <c r="AF83" s="373">
        <f>+$W83</f>
        <v>62753.627499999995</v>
      </c>
      <c r="AG83" s="373">
        <v>0</v>
      </c>
      <c r="AH83" s="373">
        <v>0</v>
      </c>
      <c r="AI83" s="373">
        <v>0</v>
      </c>
      <c r="AJ83" s="373">
        <v>0</v>
      </c>
      <c r="AK83" s="373">
        <v>0</v>
      </c>
      <c r="AL83" s="373">
        <v>0</v>
      </c>
      <c r="AM83" s="373">
        <v>0</v>
      </c>
      <c r="AN83" s="373">
        <v>0</v>
      </c>
      <c r="AO83" s="373">
        <v>0</v>
      </c>
      <c r="AP83" s="373">
        <v>0</v>
      </c>
      <c r="AQ83" s="373">
        <v>0</v>
      </c>
      <c r="AR83" s="373">
        <v>0</v>
      </c>
      <c r="AS83" s="373">
        <v>0</v>
      </c>
      <c r="AT83" s="373">
        <v>0</v>
      </c>
      <c r="AU83" s="373">
        <v>0</v>
      </c>
      <c r="AV83" s="373">
        <v>0</v>
      </c>
      <c r="AW83" s="373">
        <v>0</v>
      </c>
      <c r="AX83" s="373">
        <v>0</v>
      </c>
      <c r="AY83" s="373">
        <v>0</v>
      </c>
      <c r="AZ83" s="373">
        <v>0</v>
      </c>
      <c r="BA83" s="373">
        <v>0</v>
      </c>
      <c r="BB83" s="373">
        <v>0</v>
      </c>
      <c r="BC83" s="373">
        <v>0</v>
      </c>
      <c r="BD83" s="373">
        <v>0</v>
      </c>
      <c r="BE83" s="373">
        <v>0</v>
      </c>
      <c r="BF83" s="373">
        <v>0</v>
      </c>
      <c r="BG83" s="373">
        <v>0</v>
      </c>
      <c r="BH83" s="373">
        <v>0</v>
      </c>
      <c r="BI83" s="373">
        <v>0</v>
      </c>
      <c r="BJ83" s="373">
        <v>0</v>
      </c>
      <c r="BK83" s="373">
        <v>0</v>
      </c>
      <c r="BL83" s="373">
        <v>0</v>
      </c>
      <c r="BM83" s="373">
        <v>0</v>
      </c>
      <c r="BN83" s="373">
        <v>0</v>
      </c>
      <c r="BO83" s="373">
        <v>0</v>
      </c>
      <c r="BP83" s="373">
        <v>0</v>
      </c>
      <c r="BQ83" s="373">
        <v>0</v>
      </c>
      <c r="BR83" s="373">
        <v>0</v>
      </c>
      <c r="BS83" s="373">
        <v>0</v>
      </c>
      <c r="BT83" s="373">
        <v>0</v>
      </c>
      <c r="BU83" s="373">
        <v>0</v>
      </c>
      <c r="BV83" s="373">
        <v>0</v>
      </c>
      <c r="BW83" s="373">
        <v>0</v>
      </c>
      <c r="BX83" s="373">
        <v>0</v>
      </c>
      <c r="BY83" s="373">
        <v>0</v>
      </c>
      <c r="BZ83" s="373">
        <v>0</v>
      </c>
      <c r="CA83" s="373">
        <v>0</v>
      </c>
      <c r="CB83" s="373">
        <v>0</v>
      </c>
      <c r="CC83" s="373">
        <v>0</v>
      </c>
      <c r="CD83" s="373">
        <v>0</v>
      </c>
      <c r="CE83" s="373">
        <v>0</v>
      </c>
      <c r="CF83" s="373">
        <v>0</v>
      </c>
      <c r="CG83" s="373">
        <v>0</v>
      </c>
      <c r="CH83" s="373">
        <v>0</v>
      </c>
      <c r="CI83" s="373">
        <v>0</v>
      </c>
      <c r="CJ83" s="373">
        <v>0</v>
      </c>
      <c r="CK83" s="373">
        <v>0</v>
      </c>
      <c r="CL83" s="373">
        <v>0</v>
      </c>
      <c r="CM83" s="373">
        <v>0</v>
      </c>
      <c r="CN83" s="373">
        <v>0</v>
      </c>
      <c r="CO83" s="373">
        <v>0</v>
      </c>
      <c r="CP83" s="373">
        <v>0</v>
      </c>
      <c r="CQ83" s="373">
        <v>0</v>
      </c>
      <c r="CR83" s="373">
        <v>0</v>
      </c>
      <c r="CS83" s="365">
        <v>0</v>
      </c>
      <c r="CT83" s="373">
        <v>0</v>
      </c>
      <c r="CU83" s="373">
        <v>0</v>
      </c>
      <c r="CV83" s="373">
        <v>0</v>
      </c>
      <c r="CW83" s="373">
        <v>0</v>
      </c>
      <c r="CX83" s="373">
        <v>0</v>
      </c>
      <c r="CY83" s="373">
        <v>0</v>
      </c>
      <c r="CZ83" s="373">
        <v>0</v>
      </c>
      <c r="DA83" s="373">
        <v>0</v>
      </c>
      <c r="DB83" s="373">
        <v>0</v>
      </c>
      <c r="DC83" s="373">
        <v>0</v>
      </c>
      <c r="DD83" s="373">
        <v>0</v>
      </c>
      <c r="DE83" s="373">
        <v>0</v>
      </c>
      <c r="DF83" s="373">
        <v>0</v>
      </c>
      <c r="DG83" s="373">
        <v>0</v>
      </c>
      <c r="DH83" s="373">
        <v>0</v>
      </c>
      <c r="DI83" s="373">
        <v>0</v>
      </c>
      <c r="DJ83" s="373">
        <v>0</v>
      </c>
      <c r="DK83" s="373">
        <v>0</v>
      </c>
      <c r="DL83" s="373">
        <v>0</v>
      </c>
      <c r="DM83" s="373">
        <v>0</v>
      </c>
      <c r="DN83" s="373">
        <v>0</v>
      </c>
      <c r="DO83" s="373">
        <v>0</v>
      </c>
      <c r="DP83" s="373">
        <v>0</v>
      </c>
      <c r="DQ83" s="373">
        <v>0</v>
      </c>
      <c r="DR83" s="373">
        <v>0</v>
      </c>
      <c r="DS83" s="365">
        <v>0</v>
      </c>
      <c r="DT83" s="374">
        <f t="shared" si="64"/>
        <v>66056.45</v>
      </c>
      <c r="DU83" s="375">
        <f t="shared" si="65"/>
        <v>0</v>
      </c>
      <c r="DV83" s="376"/>
      <c r="DW83" s="138" t="b">
        <f t="shared" si="66"/>
        <v>1</v>
      </c>
    </row>
    <row r="84" spans="1:127" s="138" customFormat="1" ht="12" customHeight="1">
      <c r="A84" s="169" t="s">
        <v>437</v>
      </c>
      <c r="B84" s="170"/>
      <c r="C84" s="171" t="s">
        <v>282</v>
      </c>
      <c r="D84" s="171"/>
      <c r="E84" s="365">
        <f t="shared" si="53"/>
        <v>64.61</v>
      </c>
      <c r="F84" s="365">
        <f t="shared" si="54"/>
        <v>0</v>
      </c>
      <c r="G84" s="365">
        <f t="shared" si="52"/>
        <v>64.61</v>
      </c>
      <c r="H84" s="365">
        <f t="shared" si="55"/>
        <v>0</v>
      </c>
      <c r="I84" s="365">
        <f t="shared" si="67"/>
        <v>149.1</v>
      </c>
      <c r="J84" s="366">
        <f t="shared" si="57"/>
        <v>0</v>
      </c>
      <c r="K84" s="378" t="s">
        <v>438</v>
      </c>
      <c r="L84" s="378" t="s">
        <v>329</v>
      </c>
      <c r="M84" s="365">
        <v>5000</v>
      </c>
      <c r="N84" s="379">
        <f t="shared" si="56"/>
        <v>945</v>
      </c>
      <c r="O84" s="385">
        <f t="shared" si="58"/>
        <v>66056.45</v>
      </c>
      <c r="P84" s="370">
        <f t="shared" si="59"/>
        <v>1022.3874013310633</v>
      </c>
      <c r="Q84" s="172">
        <v>0.01</v>
      </c>
      <c r="R84" s="371">
        <f t="shared" si="60"/>
        <v>660.56449999999995</v>
      </c>
      <c r="S84" s="172">
        <v>0.04</v>
      </c>
      <c r="T84" s="371">
        <f t="shared" si="61"/>
        <v>2642.2579999999998</v>
      </c>
      <c r="U84" s="372">
        <f t="shared" si="62"/>
        <v>5</v>
      </c>
      <c r="V84" s="172">
        <v>0.95</v>
      </c>
      <c r="W84" s="371">
        <f t="shared" si="63"/>
        <v>62753.627499999995</v>
      </c>
      <c r="X84" s="373"/>
      <c r="Y84" s="373"/>
      <c r="Z84" s="373"/>
      <c r="AA84" s="373"/>
      <c r="AB84" s="373"/>
      <c r="AC84" s="373"/>
      <c r="AD84" s="373">
        <f>+$R84</f>
        <v>660.56449999999995</v>
      </c>
      <c r="AE84" s="373">
        <f>+$T84/5</f>
        <v>528.45159999999998</v>
      </c>
      <c r="AF84" s="373">
        <f>+$T84/5</f>
        <v>528.45159999999998</v>
      </c>
      <c r="AG84" s="373">
        <f>+$T84/5</f>
        <v>528.45159999999998</v>
      </c>
      <c r="AH84" s="373">
        <f>+$T84/5</f>
        <v>528.45159999999998</v>
      </c>
      <c r="AI84" s="373">
        <f>+$T84/5</f>
        <v>528.45159999999998</v>
      </c>
      <c r="AJ84" s="373">
        <f>+$W84</f>
        <v>62753.627499999995</v>
      </c>
      <c r="AK84" s="373">
        <v>0</v>
      </c>
      <c r="AL84" s="373">
        <v>0</v>
      </c>
      <c r="AM84" s="373">
        <v>0</v>
      </c>
      <c r="AN84" s="373">
        <v>0</v>
      </c>
      <c r="AO84" s="373">
        <v>0</v>
      </c>
      <c r="AP84" s="373">
        <v>0</v>
      </c>
      <c r="AQ84" s="373">
        <v>0</v>
      </c>
      <c r="AR84" s="373">
        <v>0</v>
      </c>
      <c r="AS84" s="373">
        <v>0</v>
      </c>
      <c r="AT84" s="373">
        <v>0</v>
      </c>
      <c r="AU84" s="373">
        <v>0</v>
      </c>
      <c r="AV84" s="373">
        <v>0</v>
      </c>
      <c r="AW84" s="373">
        <v>0</v>
      </c>
      <c r="AX84" s="373">
        <v>0</v>
      </c>
      <c r="AY84" s="373">
        <v>0</v>
      </c>
      <c r="AZ84" s="373">
        <v>0</v>
      </c>
      <c r="BA84" s="373">
        <v>0</v>
      </c>
      <c r="BB84" s="373">
        <v>0</v>
      </c>
      <c r="BC84" s="373">
        <v>0</v>
      </c>
      <c r="BD84" s="373">
        <v>0</v>
      </c>
      <c r="BE84" s="373">
        <v>0</v>
      </c>
      <c r="BF84" s="373">
        <v>0</v>
      </c>
      <c r="BG84" s="373">
        <v>0</v>
      </c>
      <c r="BH84" s="373">
        <v>0</v>
      </c>
      <c r="BI84" s="373">
        <v>0</v>
      </c>
      <c r="BJ84" s="373">
        <v>0</v>
      </c>
      <c r="BK84" s="373">
        <v>0</v>
      </c>
      <c r="BL84" s="373">
        <v>0</v>
      </c>
      <c r="BM84" s="373">
        <v>0</v>
      </c>
      <c r="BN84" s="373">
        <v>0</v>
      </c>
      <c r="BO84" s="373">
        <v>0</v>
      </c>
      <c r="BP84" s="373">
        <v>0</v>
      </c>
      <c r="BQ84" s="373">
        <v>0</v>
      </c>
      <c r="BR84" s="373">
        <v>0</v>
      </c>
      <c r="BS84" s="373">
        <v>0</v>
      </c>
      <c r="BT84" s="373">
        <v>0</v>
      </c>
      <c r="BU84" s="373">
        <v>0</v>
      </c>
      <c r="BV84" s="373">
        <v>0</v>
      </c>
      <c r="BW84" s="373">
        <v>0</v>
      </c>
      <c r="BX84" s="373">
        <v>0</v>
      </c>
      <c r="BY84" s="373">
        <v>0</v>
      </c>
      <c r="BZ84" s="373">
        <v>0</v>
      </c>
      <c r="CA84" s="373">
        <v>0</v>
      </c>
      <c r="CB84" s="373">
        <v>0</v>
      </c>
      <c r="CC84" s="373">
        <v>0</v>
      </c>
      <c r="CD84" s="373">
        <v>0</v>
      </c>
      <c r="CE84" s="373">
        <v>0</v>
      </c>
      <c r="CF84" s="373">
        <v>0</v>
      </c>
      <c r="CG84" s="373">
        <v>0</v>
      </c>
      <c r="CH84" s="373">
        <v>0</v>
      </c>
      <c r="CI84" s="373">
        <v>0</v>
      </c>
      <c r="CJ84" s="373">
        <v>0</v>
      </c>
      <c r="CK84" s="373">
        <v>0</v>
      </c>
      <c r="CL84" s="373">
        <v>0</v>
      </c>
      <c r="CM84" s="373">
        <v>0</v>
      </c>
      <c r="CN84" s="373">
        <v>0</v>
      </c>
      <c r="CO84" s="373">
        <v>0</v>
      </c>
      <c r="CP84" s="373">
        <v>0</v>
      </c>
      <c r="CQ84" s="373">
        <v>0</v>
      </c>
      <c r="CR84" s="373">
        <v>0</v>
      </c>
      <c r="CS84" s="365">
        <v>0</v>
      </c>
      <c r="CT84" s="373">
        <v>0</v>
      </c>
      <c r="CU84" s="373">
        <v>0</v>
      </c>
      <c r="CV84" s="373">
        <v>0</v>
      </c>
      <c r="CW84" s="373">
        <v>0</v>
      </c>
      <c r="CX84" s="373">
        <v>0</v>
      </c>
      <c r="CY84" s="373">
        <v>0</v>
      </c>
      <c r="CZ84" s="373">
        <v>0</v>
      </c>
      <c r="DA84" s="373">
        <v>0</v>
      </c>
      <c r="DB84" s="373">
        <v>0</v>
      </c>
      <c r="DC84" s="373">
        <v>0</v>
      </c>
      <c r="DD84" s="373">
        <v>0</v>
      </c>
      <c r="DE84" s="373">
        <v>0</v>
      </c>
      <c r="DF84" s="373">
        <v>0</v>
      </c>
      <c r="DG84" s="373">
        <v>0</v>
      </c>
      <c r="DH84" s="373">
        <v>0</v>
      </c>
      <c r="DI84" s="373">
        <v>0</v>
      </c>
      <c r="DJ84" s="373">
        <v>0</v>
      </c>
      <c r="DK84" s="373">
        <v>0</v>
      </c>
      <c r="DL84" s="373">
        <v>0</v>
      </c>
      <c r="DM84" s="373">
        <v>0</v>
      </c>
      <c r="DN84" s="373">
        <v>0</v>
      </c>
      <c r="DO84" s="373">
        <v>0</v>
      </c>
      <c r="DP84" s="373">
        <v>0</v>
      </c>
      <c r="DQ84" s="373">
        <v>0</v>
      </c>
      <c r="DR84" s="373">
        <v>0</v>
      </c>
      <c r="DS84" s="365">
        <v>0</v>
      </c>
      <c r="DT84" s="374">
        <f t="shared" si="64"/>
        <v>66056.45</v>
      </c>
      <c r="DU84" s="375">
        <f t="shared" si="65"/>
        <v>0</v>
      </c>
      <c r="DV84" s="376"/>
      <c r="DW84" s="138" t="b">
        <f t="shared" si="66"/>
        <v>1</v>
      </c>
    </row>
    <row r="85" spans="1:127" s="138" customFormat="1" ht="12" customHeight="1">
      <c r="A85" s="169" t="s">
        <v>439</v>
      </c>
      <c r="B85" s="170"/>
      <c r="C85" s="171" t="s">
        <v>282</v>
      </c>
      <c r="D85" s="171"/>
      <c r="E85" s="365">
        <f t="shared" si="53"/>
        <v>64.61</v>
      </c>
      <c r="F85" s="365">
        <f t="shared" si="54"/>
        <v>0</v>
      </c>
      <c r="G85" s="365">
        <f t="shared" si="52"/>
        <v>64.61</v>
      </c>
      <c r="H85" s="365">
        <f t="shared" si="55"/>
        <v>0</v>
      </c>
      <c r="I85" s="365">
        <f t="shared" si="67"/>
        <v>149.1</v>
      </c>
      <c r="J85" s="366">
        <f t="shared" si="57"/>
        <v>0</v>
      </c>
      <c r="K85" s="378" t="s">
        <v>440</v>
      </c>
      <c r="L85" s="378" t="s">
        <v>329</v>
      </c>
      <c r="M85" s="365">
        <v>5000</v>
      </c>
      <c r="N85" s="379">
        <f t="shared" si="56"/>
        <v>945</v>
      </c>
      <c r="O85" s="385">
        <f t="shared" si="58"/>
        <v>66056.45</v>
      </c>
      <c r="P85" s="370">
        <f t="shared" si="59"/>
        <v>1022.3874013310633</v>
      </c>
      <c r="Q85" s="172">
        <v>0.01</v>
      </c>
      <c r="R85" s="371">
        <f t="shared" si="60"/>
        <v>660.56449999999995</v>
      </c>
      <c r="S85" s="172">
        <v>0.04</v>
      </c>
      <c r="T85" s="371">
        <f t="shared" si="61"/>
        <v>2642.2579999999998</v>
      </c>
      <c r="U85" s="372">
        <f t="shared" si="62"/>
        <v>3</v>
      </c>
      <c r="V85" s="172">
        <v>0.95</v>
      </c>
      <c r="W85" s="371">
        <f t="shared" si="63"/>
        <v>62753.627499999995</v>
      </c>
      <c r="X85" s="373"/>
      <c r="Y85" s="373"/>
      <c r="Z85" s="373"/>
      <c r="AA85" s="373"/>
      <c r="AB85" s="373"/>
      <c r="AC85" s="373"/>
      <c r="AD85" s="373">
        <f>+$R85</f>
        <v>660.56449999999995</v>
      </c>
      <c r="AE85" s="373">
        <f>+$T85/3</f>
        <v>880.75266666666664</v>
      </c>
      <c r="AF85" s="373">
        <f>+$T85/3</f>
        <v>880.75266666666664</v>
      </c>
      <c r="AG85" s="373">
        <f>+$T85/3</f>
        <v>880.75266666666664</v>
      </c>
      <c r="AH85" s="373">
        <f>+$W85</f>
        <v>62753.627499999995</v>
      </c>
      <c r="AI85" s="373">
        <v>0</v>
      </c>
      <c r="AJ85" s="373">
        <v>0</v>
      </c>
      <c r="AK85" s="373">
        <v>0</v>
      </c>
      <c r="AL85" s="373">
        <v>0</v>
      </c>
      <c r="AM85" s="373">
        <v>0</v>
      </c>
      <c r="AN85" s="373">
        <v>0</v>
      </c>
      <c r="AO85" s="373">
        <v>0</v>
      </c>
      <c r="AP85" s="373">
        <v>0</v>
      </c>
      <c r="AQ85" s="373">
        <v>0</v>
      </c>
      <c r="AR85" s="373">
        <v>0</v>
      </c>
      <c r="AS85" s="373">
        <v>0</v>
      </c>
      <c r="AT85" s="373">
        <v>0</v>
      </c>
      <c r="AU85" s="373">
        <v>0</v>
      </c>
      <c r="AV85" s="373">
        <v>0</v>
      </c>
      <c r="AW85" s="373">
        <v>0</v>
      </c>
      <c r="AX85" s="373">
        <v>0</v>
      </c>
      <c r="AY85" s="373">
        <v>0</v>
      </c>
      <c r="AZ85" s="373">
        <v>0</v>
      </c>
      <c r="BA85" s="373">
        <v>0</v>
      </c>
      <c r="BB85" s="373">
        <v>0</v>
      </c>
      <c r="BC85" s="373">
        <v>0</v>
      </c>
      <c r="BD85" s="373">
        <v>0</v>
      </c>
      <c r="BE85" s="373">
        <v>0</v>
      </c>
      <c r="BF85" s="373">
        <v>0</v>
      </c>
      <c r="BG85" s="373">
        <v>0</v>
      </c>
      <c r="BH85" s="373">
        <v>0</v>
      </c>
      <c r="BI85" s="373">
        <v>0</v>
      </c>
      <c r="BJ85" s="373">
        <v>0</v>
      </c>
      <c r="BK85" s="373">
        <v>0</v>
      </c>
      <c r="BL85" s="373">
        <v>0</v>
      </c>
      <c r="BM85" s="373">
        <v>0</v>
      </c>
      <c r="BN85" s="373">
        <v>0</v>
      </c>
      <c r="BO85" s="373">
        <v>0</v>
      </c>
      <c r="BP85" s="373">
        <v>0</v>
      </c>
      <c r="BQ85" s="373">
        <v>0</v>
      </c>
      <c r="BR85" s="373">
        <v>0</v>
      </c>
      <c r="BS85" s="373">
        <v>0</v>
      </c>
      <c r="BT85" s="373">
        <v>0</v>
      </c>
      <c r="BU85" s="373">
        <v>0</v>
      </c>
      <c r="BV85" s="373">
        <v>0</v>
      </c>
      <c r="BW85" s="373">
        <v>0</v>
      </c>
      <c r="BX85" s="373">
        <v>0</v>
      </c>
      <c r="BY85" s="373">
        <v>0</v>
      </c>
      <c r="BZ85" s="373">
        <v>0</v>
      </c>
      <c r="CA85" s="373">
        <v>0</v>
      </c>
      <c r="CB85" s="373">
        <v>0</v>
      </c>
      <c r="CC85" s="373">
        <v>0</v>
      </c>
      <c r="CD85" s="373">
        <v>0</v>
      </c>
      <c r="CE85" s="373">
        <v>0</v>
      </c>
      <c r="CF85" s="373">
        <v>0</v>
      </c>
      <c r="CG85" s="373">
        <v>0</v>
      </c>
      <c r="CH85" s="373">
        <v>0</v>
      </c>
      <c r="CI85" s="373">
        <v>0</v>
      </c>
      <c r="CJ85" s="373">
        <v>0</v>
      </c>
      <c r="CK85" s="373">
        <v>0</v>
      </c>
      <c r="CL85" s="373">
        <v>0</v>
      </c>
      <c r="CM85" s="373">
        <v>0</v>
      </c>
      <c r="CN85" s="373">
        <v>0</v>
      </c>
      <c r="CO85" s="373">
        <v>0</v>
      </c>
      <c r="CP85" s="373">
        <v>0</v>
      </c>
      <c r="CQ85" s="373">
        <v>0</v>
      </c>
      <c r="CR85" s="373">
        <v>0</v>
      </c>
      <c r="CS85" s="365">
        <v>0</v>
      </c>
      <c r="CT85" s="373">
        <v>0</v>
      </c>
      <c r="CU85" s="373">
        <v>0</v>
      </c>
      <c r="CV85" s="373">
        <v>0</v>
      </c>
      <c r="CW85" s="373">
        <v>0</v>
      </c>
      <c r="CX85" s="373">
        <v>0</v>
      </c>
      <c r="CY85" s="373">
        <v>0</v>
      </c>
      <c r="CZ85" s="373">
        <v>0</v>
      </c>
      <c r="DA85" s="373">
        <v>0</v>
      </c>
      <c r="DB85" s="373">
        <v>0</v>
      </c>
      <c r="DC85" s="373">
        <v>0</v>
      </c>
      <c r="DD85" s="373">
        <v>0</v>
      </c>
      <c r="DE85" s="373">
        <v>0</v>
      </c>
      <c r="DF85" s="373">
        <v>0</v>
      </c>
      <c r="DG85" s="373">
        <v>0</v>
      </c>
      <c r="DH85" s="373">
        <v>0</v>
      </c>
      <c r="DI85" s="373">
        <v>0</v>
      </c>
      <c r="DJ85" s="373">
        <v>0</v>
      </c>
      <c r="DK85" s="373">
        <v>0</v>
      </c>
      <c r="DL85" s="373">
        <v>0</v>
      </c>
      <c r="DM85" s="373">
        <v>0</v>
      </c>
      <c r="DN85" s="373">
        <v>0</v>
      </c>
      <c r="DO85" s="373">
        <v>0</v>
      </c>
      <c r="DP85" s="373">
        <v>0</v>
      </c>
      <c r="DQ85" s="373">
        <v>0</v>
      </c>
      <c r="DR85" s="373">
        <v>0</v>
      </c>
      <c r="DS85" s="365">
        <v>0</v>
      </c>
      <c r="DT85" s="374">
        <f t="shared" si="64"/>
        <v>66056.45</v>
      </c>
      <c r="DU85" s="375">
        <f t="shared" si="65"/>
        <v>0</v>
      </c>
      <c r="DV85" s="376"/>
      <c r="DW85" s="138" t="b">
        <f t="shared" si="66"/>
        <v>1</v>
      </c>
    </row>
    <row r="86" spans="1:127" s="138" customFormat="1" ht="12" customHeight="1">
      <c r="A86" s="169" t="s">
        <v>441</v>
      </c>
      <c r="B86" s="170"/>
      <c r="C86" s="171" t="s">
        <v>282</v>
      </c>
      <c r="D86" s="171"/>
      <c r="E86" s="365">
        <f t="shared" si="53"/>
        <v>64.61</v>
      </c>
      <c r="F86" s="365">
        <f t="shared" si="54"/>
        <v>0</v>
      </c>
      <c r="G86" s="365">
        <f t="shared" si="52"/>
        <v>64.61</v>
      </c>
      <c r="H86" s="365">
        <f t="shared" si="55"/>
        <v>0</v>
      </c>
      <c r="I86" s="365">
        <f t="shared" si="67"/>
        <v>149.1</v>
      </c>
      <c r="J86" s="366">
        <f t="shared" si="57"/>
        <v>0</v>
      </c>
      <c r="K86" s="378" t="s">
        <v>442</v>
      </c>
      <c r="L86" s="378" t="s">
        <v>329</v>
      </c>
      <c r="M86" s="365">
        <v>5000</v>
      </c>
      <c r="N86" s="379">
        <f t="shared" si="56"/>
        <v>945</v>
      </c>
      <c r="O86" s="385">
        <f t="shared" si="58"/>
        <v>66056.45</v>
      </c>
      <c r="P86" s="370">
        <f t="shared" si="59"/>
        <v>1022.3874013310633</v>
      </c>
      <c r="Q86" s="172">
        <v>0.01</v>
      </c>
      <c r="R86" s="371">
        <f t="shared" si="60"/>
        <v>660.56449999999995</v>
      </c>
      <c r="S86" s="172">
        <v>0.04</v>
      </c>
      <c r="T86" s="371">
        <f t="shared" si="61"/>
        <v>2642.2579999999998</v>
      </c>
      <c r="U86" s="372">
        <f t="shared" si="62"/>
        <v>1</v>
      </c>
      <c r="V86" s="172">
        <v>0.95</v>
      </c>
      <c r="W86" s="371">
        <f t="shared" si="63"/>
        <v>62753.627499999995</v>
      </c>
      <c r="X86" s="373"/>
      <c r="Y86" s="373"/>
      <c r="Z86" s="373"/>
      <c r="AA86" s="373"/>
      <c r="AB86" s="373"/>
      <c r="AC86" s="373"/>
      <c r="AD86" s="373">
        <f>+$R86</f>
        <v>660.56449999999995</v>
      </c>
      <c r="AE86" s="373">
        <f>+$T86/1</f>
        <v>2642.2579999999998</v>
      </c>
      <c r="AF86" s="373">
        <f>+$W86</f>
        <v>62753.627499999995</v>
      </c>
      <c r="AG86" s="373">
        <v>0</v>
      </c>
      <c r="AH86" s="373">
        <v>0</v>
      </c>
      <c r="AI86" s="373">
        <v>0</v>
      </c>
      <c r="AJ86" s="373">
        <v>0</v>
      </c>
      <c r="AK86" s="373">
        <v>0</v>
      </c>
      <c r="AL86" s="373">
        <v>0</v>
      </c>
      <c r="AM86" s="373">
        <v>0</v>
      </c>
      <c r="AN86" s="373">
        <v>0</v>
      </c>
      <c r="AO86" s="373">
        <v>0</v>
      </c>
      <c r="AP86" s="373">
        <v>0</v>
      </c>
      <c r="AQ86" s="373">
        <v>0</v>
      </c>
      <c r="AR86" s="373">
        <v>0</v>
      </c>
      <c r="AS86" s="373">
        <v>0</v>
      </c>
      <c r="AT86" s="373">
        <v>0</v>
      </c>
      <c r="AU86" s="373">
        <v>0</v>
      </c>
      <c r="AV86" s="373">
        <v>0</v>
      </c>
      <c r="AW86" s="373">
        <v>0</v>
      </c>
      <c r="AX86" s="373">
        <v>0</v>
      </c>
      <c r="AY86" s="373">
        <v>0</v>
      </c>
      <c r="AZ86" s="373">
        <v>0</v>
      </c>
      <c r="BA86" s="373">
        <v>0</v>
      </c>
      <c r="BB86" s="373">
        <v>0</v>
      </c>
      <c r="BC86" s="373">
        <v>0</v>
      </c>
      <c r="BD86" s="373">
        <v>0</v>
      </c>
      <c r="BE86" s="373">
        <v>0</v>
      </c>
      <c r="BF86" s="373">
        <v>0</v>
      </c>
      <c r="BG86" s="373">
        <v>0</v>
      </c>
      <c r="BH86" s="373">
        <v>0</v>
      </c>
      <c r="BI86" s="373">
        <v>0</v>
      </c>
      <c r="BJ86" s="373">
        <v>0</v>
      </c>
      <c r="BK86" s="373">
        <v>0</v>
      </c>
      <c r="BL86" s="373">
        <v>0</v>
      </c>
      <c r="BM86" s="373">
        <v>0</v>
      </c>
      <c r="BN86" s="373">
        <v>0</v>
      </c>
      <c r="BO86" s="373">
        <v>0</v>
      </c>
      <c r="BP86" s="373">
        <v>0</v>
      </c>
      <c r="BQ86" s="373">
        <v>0</v>
      </c>
      <c r="BR86" s="373">
        <v>0</v>
      </c>
      <c r="BS86" s="373">
        <v>0</v>
      </c>
      <c r="BT86" s="373">
        <v>0</v>
      </c>
      <c r="BU86" s="373">
        <v>0</v>
      </c>
      <c r="BV86" s="373">
        <v>0</v>
      </c>
      <c r="BW86" s="373">
        <v>0</v>
      </c>
      <c r="BX86" s="373">
        <v>0</v>
      </c>
      <c r="BY86" s="373">
        <v>0</v>
      </c>
      <c r="BZ86" s="373">
        <v>0</v>
      </c>
      <c r="CA86" s="373">
        <v>0</v>
      </c>
      <c r="CB86" s="373">
        <v>0</v>
      </c>
      <c r="CC86" s="373">
        <v>0</v>
      </c>
      <c r="CD86" s="373">
        <v>0</v>
      </c>
      <c r="CE86" s="373">
        <v>0</v>
      </c>
      <c r="CF86" s="373">
        <v>0</v>
      </c>
      <c r="CG86" s="373">
        <v>0</v>
      </c>
      <c r="CH86" s="373">
        <v>0</v>
      </c>
      <c r="CI86" s="373">
        <v>0</v>
      </c>
      <c r="CJ86" s="373">
        <v>0</v>
      </c>
      <c r="CK86" s="373">
        <v>0</v>
      </c>
      <c r="CL86" s="373">
        <v>0</v>
      </c>
      <c r="CM86" s="373">
        <v>0</v>
      </c>
      <c r="CN86" s="373">
        <v>0</v>
      </c>
      <c r="CO86" s="373">
        <v>0</v>
      </c>
      <c r="CP86" s="373">
        <v>0</v>
      </c>
      <c r="CQ86" s="373">
        <v>0</v>
      </c>
      <c r="CR86" s="373">
        <v>0</v>
      </c>
      <c r="CS86" s="365">
        <v>0</v>
      </c>
      <c r="CT86" s="373">
        <v>0</v>
      </c>
      <c r="CU86" s="373">
        <v>0</v>
      </c>
      <c r="CV86" s="373">
        <v>0</v>
      </c>
      <c r="CW86" s="373">
        <v>0</v>
      </c>
      <c r="CX86" s="373">
        <v>0</v>
      </c>
      <c r="CY86" s="373">
        <v>0</v>
      </c>
      <c r="CZ86" s="373">
        <v>0</v>
      </c>
      <c r="DA86" s="373">
        <v>0</v>
      </c>
      <c r="DB86" s="373">
        <v>0</v>
      </c>
      <c r="DC86" s="373">
        <v>0</v>
      </c>
      <c r="DD86" s="373">
        <v>0</v>
      </c>
      <c r="DE86" s="373">
        <v>0</v>
      </c>
      <c r="DF86" s="373">
        <v>0</v>
      </c>
      <c r="DG86" s="373">
        <v>0</v>
      </c>
      <c r="DH86" s="373">
        <v>0</v>
      </c>
      <c r="DI86" s="373">
        <v>0</v>
      </c>
      <c r="DJ86" s="373">
        <v>0</v>
      </c>
      <c r="DK86" s="373">
        <v>0</v>
      </c>
      <c r="DL86" s="373">
        <v>0</v>
      </c>
      <c r="DM86" s="373">
        <v>0</v>
      </c>
      <c r="DN86" s="373">
        <v>0</v>
      </c>
      <c r="DO86" s="373">
        <v>0</v>
      </c>
      <c r="DP86" s="373">
        <v>0</v>
      </c>
      <c r="DQ86" s="373">
        <v>0</v>
      </c>
      <c r="DR86" s="373">
        <v>0</v>
      </c>
      <c r="DS86" s="365">
        <v>0</v>
      </c>
      <c r="DT86" s="374">
        <f t="shared" si="64"/>
        <v>66056.45</v>
      </c>
      <c r="DU86" s="375">
        <f t="shared" si="65"/>
        <v>0</v>
      </c>
      <c r="DV86" s="376"/>
      <c r="DW86" s="138" t="b">
        <f t="shared" si="66"/>
        <v>1</v>
      </c>
    </row>
    <row r="87" spans="1:127" s="138" customFormat="1" ht="12" customHeight="1">
      <c r="A87" s="169" t="s">
        <v>443</v>
      </c>
      <c r="B87" s="170"/>
      <c r="C87" s="171" t="s">
        <v>282</v>
      </c>
      <c r="D87" s="171"/>
      <c r="E87" s="365">
        <f t="shared" si="53"/>
        <v>64.61</v>
      </c>
      <c r="F87" s="365">
        <f t="shared" si="54"/>
        <v>0</v>
      </c>
      <c r="G87" s="365">
        <f t="shared" si="52"/>
        <v>64.61</v>
      </c>
      <c r="H87" s="365">
        <f t="shared" si="55"/>
        <v>0</v>
      </c>
      <c r="I87" s="365">
        <f t="shared" si="67"/>
        <v>149.1</v>
      </c>
      <c r="J87" s="366">
        <f t="shared" si="57"/>
        <v>0</v>
      </c>
      <c r="K87" s="378"/>
      <c r="L87" s="378"/>
      <c r="M87" s="365"/>
      <c r="N87" s="379">
        <f t="shared" si="56"/>
        <v>945</v>
      </c>
      <c r="O87" s="382">
        <f t="shared" si="58"/>
        <v>61056.45</v>
      </c>
      <c r="P87" s="370">
        <f t="shared" si="59"/>
        <v>945</v>
      </c>
      <c r="Q87" s="172">
        <v>0.01</v>
      </c>
      <c r="R87" s="371">
        <f t="shared" si="60"/>
        <v>610.56449999999995</v>
      </c>
      <c r="S87" s="172">
        <v>0.04</v>
      </c>
      <c r="T87" s="371">
        <f t="shared" si="61"/>
        <v>2442.2579999999998</v>
      </c>
      <c r="U87" s="372">
        <f t="shared" si="62"/>
        <v>5</v>
      </c>
      <c r="V87" s="172">
        <v>0.95</v>
      </c>
      <c r="W87" s="371">
        <f t="shared" si="63"/>
        <v>58003.627499999995</v>
      </c>
      <c r="X87" s="373"/>
      <c r="Y87" s="373"/>
      <c r="Z87" s="373"/>
      <c r="AA87" s="373"/>
      <c r="AB87" s="373"/>
      <c r="AC87" s="373"/>
      <c r="AD87" s="373"/>
      <c r="AE87" s="373">
        <f>+$R87</f>
        <v>610.56449999999995</v>
      </c>
      <c r="AF87" s="373">
        <f>+$T87/5</f>
        <v>488.45159999999998</v>
      </c>
      <c r="AG87" s="373">
        <f>+$T87/5</f>
        <v>488.45159999999998</v>
      </c>
      <c r="AH87" s="373">
        <f>+$T87/5</f>
        <v>488.45159999999998</v>
      </c>
      <c r="AI87" s="373">
        <f>+$T87/5</f>
        <v>488.45159999999998</v>
      </c>
      <c r="AJ87" s="373">
        <f>+$T87/5</f>
        <v>488.45159999999998</v>
      </c>
      <c r="AK87" s="373">
        <f>+$W87</f>
        <v>58003.627499999995</v>
      </c>
      <c r="AL87" s="373">
        <v>0</v>
      </c>
      <c r="AM87" s="373">
        <v>0</v>
      </c>
      <c r="AN87" s="373">
        <v>0</v>
      </c>
      <c r="AO87" s="373">
        <v>0</v>
      </c>
      <c r="AP87" s="373">
        <v>0</v>
      </c>
      <c r="AQ87" s="373">
        <v>0</v>
      </c>
      <c r="AR87" s="373">
        <v>0</v>
      </c>
      <c r="AS87" s="373">
        <v>0</v>
      </c>
      <c r="AT87" s="373">
        <v>0</v>
      </c>
      <c r="AU87" s="373">
        <v>0</v>
      </c>
      <c r="AV87" s="373">
        <v>0</v>
      </c>
      <c r="AW87" s="373">
        <v>0</v>
      </c>
      <c r="AX87" s="373">
        <v>0</v>
      </c>
      <c r="AY87" s="373">
        <v>0</v>
      </c>
      <c r="AZ87" s="373">
        <v>0</v>
      </c>
      <c r="BA87" s="373">
        <v>0</v>
      </c>
      <c r="BB87" s="373">
        <v>0</v>
      </c>
      <c r="BC87" s="373">
        <v>0</v>
      </c>
      <c r="BD87" s="373">
        <v>0</v>
      </c>
      <c r="BE87" s="373">
        <v>0</v>
      </c>
      <c r="BF87" s="373">
        <v>0</v>
      </c>
      <c r="BG87" s="373">
        <v>0</v>
      </c>
      <c r="BH87" s="373">
        <v>0</v>
      </c>
      <c r="BI87" s="373">
        <v>0</v>
      </c>
      <c r="BJ87" s="373">
        <v>0</v>
      </c>
      <c r="BK87" s="373">
        <v>0</v>
      </c>
      <c r="BL87" s="373">
        <v>0</v>
      </c>
      <c r="BM87" s="373">
        <v>0</v>
      </c>
      <c r="BN87" s="373">
        <v>0</v>
      </c>
      <c r="BO87" s="373">
        <v>0</v>
      </c>
      <c r="BP87" s="373">
        <v>0</v>
      </c>
      <c r="BQ87" s="373">
        <v>0</v>
      </c>
      <c r="BR87" s="373">
        <v>0</v>
      </c>
      <c r="BS87" s="373">
        <v>0</v>
      </c>
      <c r="BT87" s="373">
        <v>0</v>
      </c>
      <c r="BU87" s="373">
        <v>0</v>
      </c>
      <c r="BV87" s="373">
        <v>0</v>
      </c>
      <c r="BW87" s="373">
        <v>0</v>
      </c>
      <c r="BX87" s="373">
        <v>0</v>
      </c>
      <c r="BY87" s="373">
        <v>0</v>
      </c>
      <c r="BZ87" s="373">
        <v>0</v>
      </c>
      <c r="CA87" s="373">
        <v>0</v>
      </c>
      <c r="CB87" s="373">
        <v>0</v>
      </c>
      <c r="CC87" s="373">
        <v>0</v>
      </c>
      <c r="CD87" s="373">
        <v>0</v>
      </c>
      <c r="CE87" s="373">
        <v>0</v>
      </c>
      <c r="CF87" s="373">
        <v>0</v>
      </c>
      <c r="CG87" s="373">
        <v>0</v>
      </c>
      <c r="CH87" s="373">
        <v>0</v>
      </c>
      <c r="CI87" s="373">
        <v>0</v>
      </c>
      <c r="CJ87" s="373">
        <v>0</v>
      </c>
      <c r="CK87" s="373">
        <v>0</v>
      </c>
      <c r="CL87" s="373">
        <v>0</v>
      </c>
      <c r="CM87" s="373">
        <v>0</v>
      </c>
      <c r="CN87" s="373">
        <v>0</v>
      </c>
      <c r="CO87" s="373">
        <v>0</v>
      </c>
      <c r="CP87" s="373">
        <v>0</v>
      </c>
      <c r="CQ87" s="373">
        <v>0</v>
      </c>
      <c r="CR87" s="373">
        <v>0</v>
      </c>
      <c r="CS87" s="365">
        <v>0</v>
      </c>
      <c r="CT87" s="373">
        <v>0</v>
      </c>
      <c r="CU87" s="373">
        <v>0</v>
      </c>
      <c r="CV87" s="373">
        <v>0</v>
      </c>
      <c r="CW87" s="373">
        <v>0</v>
      </c>
      <c r="CX87" s="373">
        <v>0</v>
      </c>
      <c r="CY87" s="373">
        <v>0</v>
      </c>
      <c r="CZ87" s="373">
        <v>0</v>
      </c>
      <c r="DA87" s="373">
        <v>0</v>
      </c>
      <c r="DB87" s="373">
        <v>0</v>
      </c>
      <c r="DC87" s="373">
        <v>0</v>
      </c>
      <c r="DD87" s="373">
        <v>0</v>
      </c>
      <c r="DE87" s="373">
        <v>0</v>
      </c>
      <c r="DF87" s="373">
        <v>0</v>
      </c>
      <c r="DG87" s="373">
        <v>0</v>
      </c>
      <c r="DH87" s="373">
        <v>0</v>
      </c>
      <c r="DI87" s="373">
        <v>0</v>
      </c>
      <c r="DJ87" s="373">
        <v>0</v>
      </c>
      <c r="DK87" s="373">
        <v>0</v>
      </c>
      <c r="DL87" s="373">
        <v>0</v>
      </c>
      <c r="DM87" s="373">
        <v>0</v>
      </c>
      <c r="DN87" s="373">
        <v>0</v>
      </c>
      <c r="DO87" s="373">
        <v>0</v>
      </c>
      <c r="DP87" s="373">
        <v>0</v>
      </c>
      <c r="DQ87" s="373">
        <v>0</v>
      </c>
      <c r="DR87" s="373">
        <v>0</v>
      </c>
      <c r="DS87" s="365">
        <v>0</v>
      </c>
      <c r="DT87" s="374">
        <f t="shared" si="64"/>
        <v>61056.45</v>
      </c>
      <c r="DU87" s="375">
        <f t="shared" si="65"/>
        <v>0</v>
      </c>
      <c r="DV87" s="376"/>
      <c r="DW87" s="138" t="b">
        <f t="shared" si="66"/>
        <v>1</v>
      </c>
    </row>
    <row r="88" spans="1:127" s="138" customFormat="1" ht="12" customHeight="1">
      <c r="A88" s="169" t="s">
        <v>444</v>
      </c>
      <c r="B88" s="170"/>
      <c r="C88" s="171" t="s">
        <v>282</v>
      </c>
      <c r="D88" s="171"/>
      <c r="E88" s="365">
        <f t="shared" si="53"/>
        <v>64.61</v>
      </c>
      <c r="F88" s="365">
        <f t="shared" si="54"/>
        <v>0</v>
      </c>
      <c r="G88" s="365">
        <f t="shared" si="52"/>
        <v>64.61</v>
      </c>
      <c r="H88" s="365">
        <f t="shared" si="55"/>
        <v>0</v>
      </c>
      <c r="I88" s="365">
        <f t="shared" si="67"/>
        <v>149.1</v>
      </c>
      <c r="J88" s="366">
        <f t="shared" si="57"/>
        <v>0</v>
      </c>
      <c r="K88" s="378"/>
      <c r="L88" s="378"/>
      <c r="M88" s="365"/>
      <c r="N88" s="379">
        <f t="shared" si="56"/>
        <v>945</v>
      </c>
      <c r="O88" s="382">
        <f t="shared" si="58"/>
        <v>61056.45</v>
      </c>
      <c r="P88" s="370">
        <f t="shared" si="59"/>
        <v>945</v>
      </c>
      <c r="Q88" s="172">
        <v>0.01</v>
      </c>
      <c r="R88" s="371">
        <f t="shared" si="60"/>
        <v>610.56449999999995</v>
      </c>
      <c r="S88" s="172">
        <v>0.04</v>
      </c>
      <c r="T88" s="371">
        <f t="shared" si="61"/>
        <v>2442.2579999999998</v>
      </c>
      <c r="U88" s="372">
        <f t="shared" si="62"/>
        <v>3</v>
      </c>
      <c r="V88" s="172">
        <v>0.95</v>
      </c>
      <c r="W88" s="371">
        <f t="shared" si="63"/>
        <v>58003.627499999995</v>
      </c>
      <c r="X88" s="373"/>
      <c r="Y88" s="373"/>
      <c r="Z88" s="373"/>
      <c r="AA88" s="373"/>
      <c r="AB88" s="373"/>
      <c r="AC88" s="373"/>
      <c r="AD88" s="373"/>
      <c r="AE88" s="373">
        <f>+$R88</f>
        <v>610.56449999999995</v>
      </c>
      <c r="AF88" s="373">
        <f>+$T88/3</f>
        <v>814.0859999999999</v>
      </c>
      <c r="AG88" s="373">
        <f>+$T88/3</f>
        <v>814.0859999999999</v>
      </c>
      <c r="AH88" s="373">
        <f>+$T88/3</f>
        <v>814.0859999999999</v>
      </c>
      <c r="AI88" s="373">
        <f>+$W88</f>
        <v>58003.627499999995</v>
      </c>
      <c r="AJ88" s="373">
        <v>0</v>
      </c>
      <c r="AK88" s="373">
        <v>0</v>
      </c>
      <c r="AL88" s="373">
        <v>0</v>
      </c>
      <c r="AM88" s="373">
        <v>0</v>
      </c>
      <c r="AN88" s="373">
        <v>0</v>
      </c>
      <c r="AO88" s="373">
        <v>0</v>
      </c>
      <c r="AP88" s="373">
        <v>0</v>
      </c>
      <c r="AQ88" s="373">
        <v>0</v>
      </c>
      <c r="AR88" s="373">
        <v>0</v>
      </c>
      <c r="AS88" s="373">
        <v>0</v>
      </c>
      <c r="AT88" s="373">
        <v>0</v>
      </c>
      <c r="AU88" s="373">
        <v>0</v>
      </c>
      <c r="AV88" s="373">
        <v>0</v>
      </c>
      <c r="AW88" s="373">
        <v>0</v>
      </c>
      <c r="AX88" s="373">
        <v>0</v>
      </c>
      <c r="AY88" s="373">
        <v>0</v>
      </c>
      <c r="AZ88" s="373">
        <v>0</v>
      </c>
      <c r="BA88" s="373">
        <v>0</v>
      </c>
      <c r="BB88" s="373">
        <v>0</v>
      </c>
      <c r="BC88" s="373">
        <v>0</v>
      </c>
      <c r="BD88" s="373">
        <v>0</v>
      </c>
      <c r="BE88" s="373">
        <v>0</v>
      </c>
      <c r="BF88" s="373">
        <v>0</v>
      </c>
      <c r="BG88" s="373">
        <v>0</v>
      </c>
      <c r="BH88" s="373">
        <v>0</v>
      </c>
      <c r="BI88" s="373">
        <v>0</v>
      </c>
      <c r="BJ88" s="373">
        <v>0</v>
      </c>
      <c r="BK88" s="373">
        <v>0</v>
      </c>
      <c r="BL88" s="373">
        <v>0</v>
      </c>
      <c r="BM88" s="373">
        <v>0</v>
      </c>
      <c r="BN88" s="373">
        <v>0</v>
      </c>
      <c r="BO88" s="373">
        <v>0</v>
      </c>
      <c r="BP88" s="373">
        <v>0</v>
      </c>
      <c r="BQ88" s="373">
        <v>0</v>
      </c>
      <c r="BR88" s="373">
        <v>0</v>
      </c>
      <c r="BS88" s="373">
        <v>0</v>
      </c>
      <c r="BT88" s="373">
        <v>0</v>
      </c>
      <c r="BU88" s="373">
        <v>0</v>
      </c>
      <c r="BV88" s="373">
        <v>0</v>
      </c>
      <c r="BW88" s="373">
        <v>0</v>
      </c>
      <c r="BX88" s="373">
        <v>0</v>
      </c>
      <c r="BY88" s="373">
        <v>0</v>
      </c>
      <c r="BZ88" s="373">
        <v>0</v>
      </c>
      <c r="CA88" s="373">
        <v>0</v>
      </c>
      <c r="CB88" s="373">
        <v>0</v>
      </c>
      <c r="CC88" s="373">
        <v>0</v>
      </c>
      <c r="CD88" s="373">
        <v>0</v>
      </c>
      <c r="CE88" s="373">
        <v>0</v>
      </c>
      <c r="CF88" s="373">
        <v>0</v>
      </c>
      <c r="CG88" s="373">
        <v>0</v>
      </c>
      <c r="CH88" s="373">
        <v>0</v>
      </c>
      <c r="CI88" s="373">
        <v>0</v>
      </c>
      <c r="CJ88" s="373">
        <v>0</v>
      </c>
      <c r="CK88" s="373">
        <v>0</v>
      </c>
      <c r="CL88" s="373">
        <v>0</v>
      </c>
      <c r="CM88" s="373">
        <v>0</v>
      </c>
      <c r="CN88" s="373">
        <v>0</v>
      </c>
      <c r="CO88" s="373">
        <v>0</v>
      </c>
      <c r="CP88" s="373">
        <v>0</v>
      </c>
      <c r="CQ88" s="373">
        <v>0</v>
      </c>
      <c r="CR88" s="373">
        <v>0</v>
      </c>
      <c r="CS88" s="365">
        <v>0</v>
      </c>
      <c r="CT88" s="373">
        <v>0</v>
      </c>
      <c r="CU88" s="373">
        <v>0</v>
      </c>
      <c r="CV88" s="373">
        <v>0</v>
      </c>
      <c r="CW88" s="373">
        <v>0</v>
      </c>
      <c r="CX88" s="373">
        <v>0</v>
      </c>
      <c r="CY88" s="373">
        <v>0</v>
      </c>
      <c r="CZ88" s="373">
        <v>0</v>
      </c>
      <c r="DA88" s="373">
        <v>0</v>
      </c>
      <c r="DB88" s="373">
        <v>0</v>
      </c>
      <c r="DC88" s="373">
        <v>0</v>
      </c>
      <c r="DD88" s="373">
        <v>0</v>
      </c>
      <c r="DE88" s="373">
        <v>0</v>
      </c>
      <c r="DF88" s="373">
        <v>0</v>
      </c>
      <c r="DG88" s="373">
        <v>0</v>
      </c>
      <c r="DH88" s="373">
        <v>0</v>
      </c>
      <c r="DI88" s="373">
        <v>0</v>
      </c>
      <c r="DJ88" s="373">
        <v>0</v>
      </c>
      <c r="DK88" s="373">
        <v>0</v>
      </c>
      <c r="DL88" s="373">
        <v>0</v>
      </c>
      <c r="DM88" s="373">
        <v>0</v>
      </c>
      <c r="DN88" s="373">
        <v>0</v>
      </c>
      <c r="DO88" s="373">
        <v>0</v>
      </c>
      <c r="DP88" s="373">
        <v>0</v>
      </c>
      <c r="DQ88" s="373">
        <v>0</v>
      </c>
      <c r="DR88" s="373">
        <v>0</v>
      </c>
      <c r="DS88" s="365">
        <v>0</v>
      </c>
      <c r="DT88" s="374">
        <f t="shared" si="64"/>
        <v>61056.45</v>
      </c>
      <c r="DU88" s="375">
        <f t="shared" si="65"/>
        <v>0</v>
      </c>
      <c r="DV88" s="376"/>
      <c r="DW88" s="138" t="b">
        <f t="shared" si="66"/>
        <v>1</v>
      </c>
    </row>
    <row r="89" spans="1:127" s="138" customFormat="1" ht="12" customHeight="1">
      <c r="A89" s="169" t="s">
        <v>445</v>
      </c>
      <c r="B89" s="170"/>
      <c r="C89" s="171" t="s">
        <v>282</v>
      </c>
      <c r="D89" s="171"/>
      <c r="E89" s="365">
        <f t="shared" si="53"/>
        <v>64.61</v>
      </c>
      <c r="F89" s="365">
        <f t="shared" si="54"/>
        <v>0</v>
      </c>
      <c r="G89" s="365">
        <f t="shared" si="52"/>
        <v>64.61</v>
      </c>
      <c r="H89" s="365">
        <f t="shared" si="55"/>
        <v>0</v>
      </c>
      <c r="I89" s="365">
        <f t="shared" si="67"/>
        <v>149.1</v>
      </c>
      <c r="J89" s="366">
        <f t="shared" si="57"/>
        <v>0</v>
      </c>
      <c r="K89" s="378"/>
      <c r="L89" s="378"/>
      <c r="M89" s="365"/>
      <c r="N89" s="379">
        <f t="shared" si="56"/>
        <v>945</v>
      </c>
      <c r="O89" s="382">
        <f t="shared" si="58"/>
        <v>61056.45</v>
      </c>
      <c r="P89" s="370">
        <f t="shared" si="59"/>
        <v>945</v>
      </c>
      <c r="Q89" s="172">
        <v>0.01</v>
      </c>
      <c r="R89" s="371">
        <f t="shared" si="60"/>
        <v>610.56449999999995</v>
      </c>
      <c r="S89" s="172">
        <v>0.04</v>
      </c>
      <c r="T89" s="371">
        <f t="shared" si="61"/>
        <v>2442.2579999999998</v>
      </c>
      <c r="U89" s="372">
        <f t="shared" si="62"/>
        <v>1</v>
      </c>
      <c r="V89" s="172">
        <v>0.95</v>
      </c>
      <c r="W89" s="371">
        <f t="shared" si="63"/>
        <v>58003.627499999995</v>
      </c>
      <c r="X89" s="373"/>
      <c r="Y89" s="373"/>
      <c r="Z89" s="373"/>
      <c r="AA89" s="373"/>
      <c r="AB89" s="373"/>
      <c r="AC89" s="373"/>
      <c r="AD89" s="373"/>
      <c r="AE89" s="373">
        <f>+$R89</f>
        <v>610.56449999999995</v>
      </c>
      <c r="AF89" s="373">
        <f>+$T89/1</f>
        <v>2442.2579999999998</v>
      </c>
      <c r="AG89" s="373">
        <f>+$W89</f>
        <v>58003.627499999995</v>
      </c>
      <c r="AH89" s="373">
        <v>0</v>
      </c>
      <c r="AI89" s="373">
        <v>0</v>
      </c>
      <c r="AJ89" s="373">
        <v>0</v>
      </c>
      <c r="AK89" s="373">
        <v>0</v>
      </c>
      <c r="AL89" s="373">
        <v>0</v>
      </c>
      <c r="AM89" s="373">
        <v>0</v>
      </c>
      <c r="AN89" s="373">
        <v>0</v>
      </c>
      <c r="AO89" s="373">
        <v>0</v>
      </c>
      <c r="AP89" s="373">
        <v>0</v>
      </c>
      <c r="AQ89" s="373">
        <v>0</v>
      </c>
      <c r="AR89" s="373">
        <v>0</v>
      </c>
      <c r="AS89" s="373">
        <v>0</v>
      </c>
      <c r="AT89" s="373">
        <v>0</v>
      </c>
      <c r="AU89" s="373">
        <v>0</v>
      </c>
      <c r="AV89" s="373">
        <v>0</v>
      </c>
      <c r="AW89" s="373">
        <v>0</v>
      </c>
      <c r="AX89" s="373">
        <v>0</v>
      </c>
      <c r="AY89" s="373">
        <v>0</v>
      </c>
      <c r="AZ89" s="373">
        <v>0</v>
      </c>
      <c r="BA89" s="373">
        <v>0</v>
      </c>
      <c r="BB89" s="373">
        <v>0</v>
      </c>
      <c r="BC89" s="373">
        <v>0</v>
      </c>
      <c r="BD89" s="373">
        <v>0</v>
      </c>
      <c r="BE89" s="373">
        <v>0</v>
      </c>
      <c r="BF89" s="373">
        <v>0</v>
      </c>
      <c r="BG89" s="373">
        <v>0</v>
      </c>
      <c r="BH89" s="373">
        <v>0</v>
      </c>
      <c r="BI89" s="373">
        <v>0</v>
      </c>
      <c r="BJ89" s="373">
        <v>0</v>
      </c>
      <c r="BK89" s="373">
        <v>0</v>
      </c>
      <c r="BL89" s="373">
        <v>0</v>
      </c>
      <c r="BM89" s="373">
        <v>0</v>
      </c>
      <c r="BN89" s="373">
        <v>0</v>
      </c>
      <c r="BO89" s="373">
        <v>0</v>
      </c>
      <c r="BP89" s="373">
        <v>0</v>
      </c>
      <c r="BQ89" s="373">
        <v>0</v>
      </c>
      <c r="BR89" s="373">
        <v>0</v>
      </c>
      <c r="BS89" s="373">
        <v>0</v>
      </c>
      <c r="BT89" s="373">
        <v>0</v>
      </c>
      <c r="BU89" s="373">
        <v>0</v>
      </c>
      <c r="BV89" s="373">
        <v>0</v>
      </c>
      <c r="BW89" s="373">
        <v>0</v>
      </c>
      <c r="BX89" s="373">
        <v>0</v>
      </c>
      <c r="BY89" s="373">
        <v>0</v>
      </c>
      <c r="BZ89" s="373">
        <v>0</v>
      </c>
      <c r="CA89" s="373">
        <v>0</v>
      </c>
      <c r="CB89" s="373">
        <v>0</v>
      </c>
      <c r="CC89" s="373">
        <v>0</v>
      </c>
      <c r="CD89" s="373">
        <v>0</v>
      </c>
      <c r="CE89" s="373">
        <v>0</v>
      </c>
      <c r="CF89" s="373">
        <v>0</v>
      </c>
      <c r="CG89" s="373">
        <v>0</v>
      </c>
      <c r="CH89" s="373">
        <v>0</v>
      </c>
      <c r="CI89" s="373">
        <v>0</v>
      </c>
      <c r="CJ89" s="373">
        <v>0</v>
      </c>
      <c r="CK89" s="373">
        <v>0</v>
      </c>
      <c r="CL89" s="373">
        <v>0</v>
      </c>
      <c r="CM89" s="373">
        <v>0</v>
      </c>
      <c r="CN89" s="373">
        <v>0</v>
      </c>
      <c r="CO89" s="373">
        <v>0</v>
      </c>
      <c r="CP89" s="373">
        <v>0</v>
      </c>
      <c r="CQ89" s="373">
        <v>0</v>
      </c>
      <c r="CR89" s="373">
        <v>0</v>
      </c>
      <c r="CS89" s="365">
        <v>0</v>
      </c>
      <c r="CT89" s="373">
        <v>0</v>
      </c>
      <c r="CU89" s="373">
        <v>0</v>
      </c>
      <c r="CV89" s="373">
        <v>0</v>
      </c>
      <c r="CW89" s="373">
        <v>0</v>
      </c>
      <c r="CX89" s="373">
        <v>0</v>
      </c>
      <c r="CY89" s="373">
        <v>0</v>
      </c>
      <c r="CZ89" s="373">
        <v>0</v>
      </c>
      <c r="DA89" s="373">
        <v>0</v>
      </c>
      <c r="DB89" s="373">
        <v>0</v>
      </c>
      <c r="DC89" s="373">
        <v>0</v>
      </c>
      <c r="DD89" s="373">
        <v>0</v>
      </c>
      <c r="DE89" s="373">
        <v>0</v>
      </c>
      <c r="DF89" s="373">
        <v>0</v>
      </c>
      <c r="DG89" s="373">
        <v>0</v>
      </c>
      <c r="DH89" s="373">
        <v>0</v>
      </c>
      <c r="DI89" s="373">
        <v>0</v>
      </c>
      <c r="DJ89" s="373">
        <v>0</v>
      </c>
      <c r="DK89" s="373">
        <v>0</v>
      </c>
      <c r="DL89" s="373">
        <v>0</v>
      </c>
      <c r="DM89" s="373">
        <v>0</v>
      </c>
      <c r="DN89" s="373">
        <v>0</v>
      </c>
      <c r="DO89" s="373">
        <v>0</v>
      </c>
      <c r="DP89" s="373">
        <v>0</v>
      </c>
      <c r="DQ89" s="373">
        <v>0</v>
      </c>
      <c r="DR89" s="373">
        <v>0</v>
      </c>
      <c r="DS89" s="365">
        <v>0</v>
      </c>
      <c r="DT89" s="374">
        <f t="shared" si="64"/>
        <v>61056.45</v>
      </c>
      <c r="DU89" s="375">
        <f t="shared" si="65"/>
        <v>0</v>
      </c>
      <c r="DV89" s="376"/>
      <c r="DW89" s="138" t="b">
        <f t="shared" si="66"/>
        <v>1</v>
      </c>
    </row>
    <row r="90" spans="1:127" s="138" customFormat="1" ht="12" customHeight="1">
      <c r="A90" s="169" t="s">
        <v>446</v>
      </c>
      <c r="B90" s="170"/>
      <c r="C90" s="171" t="s">
        <v>282</v>
      </c>
      <c r="D90" s="171"/>
      <c r="E90" s="365">
        <f t="shared" si="53"/>
        <v>64.61</v>
      </c>
      <c r="F90" s="365">
        <f t="shared" si="54"/>
        <v>0</v>
      </c>
      <c r="G90" s="365">
        <f t="shared" si="52"/>
        <v>64.61</v>
      </c>
      <c r="H90" s="365">
        <f t="shared" si="55"/>
        <v>0</v>
      </c>
      <c r="I90" s="365">
        <f t="shared" si="67"/>
        <v>149.1</v>
      </c>
      <c r="J90" s="366">
        <f t="shared" si="57"/>
        <v>0</v>
      </c>
      <c r="K90" s="378"/>
      <c r="L90" s="378"/>
      <c r="M90" s="365"/>
      <c r="N90" s="379">
        <f t="shared" si="56"/>
        <v>945</v>
      </c>
      <c r="O90" s="382">
        <f t="shared" si="58"/>
        <v>61056.45</v>
      </c>
      <c r="P90" s="370">
        <f t="shared" si="59"/>
        <v>945</v>
      </c>
      <c r="Q90" s="172">
        <v>0.01</v>
      </c>
      <c r="R90" s="371">
        <f t="shared" si="60"/>
        <v>610.56449999999995</v>
      </c>
      <c r="S90" s="172">
        <v>0.04</v>
      </c>
      <c r="T90" s="371">
        <f t="shared" si="61"/>
        <v>2442.2579999999998</v>
      </c>
      <c r="U90" s="372">
        <f t="shared" si="62"/>
        <v>5</v>
      </c>
      <c r="V90" s="172">
        <v>0.95</v>
      </c>
      <c r="W90" s="371">
        <f t="shared" si="63"/>
        <v>58003.627499999995</v>
      </c>
      <c r="X90" s="373"/>
      <c r="Y90" s="373"/>
      <c r="Z90" s="373"/>
      <c r="AA90" s="373"/>
      <c r="AB90" s="373"/>
      <c r="AC90" s="373"/>
      <c r="AD90" s="373"/>
      <c r="AE90" s="373">
        <f>+$R90</f>
        <v>610.56449999999995</v>
      </c>
      <c r="AF90" s="373">
        <f>+$T90/5</f>
        <v>488.45159999999998</v>
      </c>
      <c r="AG90" s="373">
        <f>+$T90/5</f>
        <v>488.45159999999998</v>
      </c>
      <c r="AH90" s="373">
        <f>+$T90/5</f>
        <v>488.45159999999998</v>
      </c>
      <c r="AI90" s="373">
        <f>+$T90/5</f>
        <v>488.45159999999998</v>
      </c>
      <c r="AJ90" s="373">
        <f>+$T90/5</f>
        <v>488.45159999999998</v>
      </c>
      <c r="AK90" s="373">
        <f>+$W90</f>
        <v>58003.627499999995</v>
      </c>
      <c r="AL90" s="373">
        <v>0</v>
      </c>
      <c r="AM90" s="373">
        <v>0</v>
      </c>
      <c r="AN90" s="373">
        <v>0</v>
      </c>
      <c r="AO90" s="373">
        <v>0</v>
      </c>
      <c r="AP90" s="373">
        <v>0</v>
      </c>
      <c r="AQ90" s="373">
        <v>0</v>
      </c>
      <c r="AR90" s="373">
        <v>0</v>
      </c>
      <c r="AS90" s="373">
        <v>0</v>
      </c>
      <c r="AT90" s="373">
        <v>0</v>
      </c>
      <c r="AU90" s="373">
        <v>0</v>
      </c>
      <c r="AV90" s="373">
        <v>0</v>
      </c>
      <c r="AW90" s="373">
        <v>0</v>
      </c>
      <c r="AX90" s="373">
        <v>0</v>
      </c>
      <c r="AY90" s="373">
        <v>0</v>
      </c>
      <c r="AZ90" s="373">
        <v>0</v>
      </c>
      <c r="BA90" s="373">
        <v>0</v>
      </c>
      <c r="BB90" s="373">
        <v>0</v>
      </c>
      <c r="BC90" s="373">
        <v>0</v>
      </c>
      <c r="BD90" s="373">
        <v>0</v>
      </c>
      <c r="BE90" s="373">
        <v>0</v>
      </c>
      <c r="BF90" s="373">
        <v>0</v>
      </c>
      <c r="BG90" s="373">
        <v>0</v>
      </c>
      <c r="BH90" s="373">
        <v>0</v>
      </c>
      <c r="BI90" s="373">
        <v>0</v>
      </c>
      <c r="BJ90" s="373">
        <v>0</v>
      </c>
      <c r="BK90" s="373">
        <v>0</v>
      </c>
      <c r="BL90" s="373">
        <v>0</v>
      </c>
      <c r="BM90" s="373">
        <v>0</v>
      </c>
      <c r="BN90" s="373">
        <v>0</v>
      </c>
      <c r="BO90" s="373">
        <v>0</v>
      </c>
      <c r="BP90" s="373">
        <v>0</v>
      </c>
      <c r="BQ90" s="373">
        <v>0</v>
      </c>
      <c r="BR90" s="373">
        <v>0</v>
      </c>
      <c r="BS90" s="373">
        <v>0</v>
      </c>
      <c r="BT90" s="373">
        <v>0</v>
      </c>
      <c r="BU90" s="373">
        <v>0</v>
      </c>
      <c r="BV90" s="373">
        <v>0</v>
      </c>
      <c r="BW90" s="373">
        <v>0</v>
      </c>
      <c r="BX90" s="373">
        <v>0</v>
      </c>
      <c r="BY90" s="373">
        <v>0</v>
      </c>
      <c r="BZ90" s="373">
        <v>0</v>
      </c>
      <c r="CA90" s="373">
        <v>0</v>
      </c>
      <c r="CB90" s="373">
        <v>0</v>
      </c>
      <c r="CC90" s="373">
        <v>0</v>
      </c>
      <c r="CD90" s="373">
        <v>0</v>
      </c>
      <c r="CE90" s="373">
        <v>0</v>
      </c>
      <c r="CF90" s="373">
        <v>0</v>
      </c>
      <c r="CG90" s="373">
        <v>0</v>
      </c>
      <c r="CH90" s="373">
        <v>0</v>
      </c>
      <c r="CI90" s="373">
        <v>0</v>
      </c>
      <c r="CJ90" s="373">
        <v>0</v>
      </c>
      <c r="CK90" s="373">
        <v>0</v>
      </c>
      <c r="CL90" s="373">
        <v>0</v>
      </c>
      <c r="CM90" s="373">
        <v>0</v>
      </c>
      <c r="CN90" s="373">
        <v>0</v>
      </c>
      <c r="CO90" s="373">
        <v>0</v>
      </c>
      <c r="CP90" s="373">
        <v>0</v>
      </c>
      <c r="CQ90" s="373">
        <v>0</v>
      </c>
      <c r="CR90" s="373">
        <v>0</v>
      </c>
      <c r="CS90" s="365">
        <v>0</v>
      </c>
      <c r="CT90" s="373">
        <v>0</v>
      </c>
      <c r="CU90" s="373">
        <v>0</v>
      </c>
      <c r="CV90" s="373">
        <v>0</v>
      </c>
      <c r="CW90" s="373">
        <v>0</v>
      </c>
      <c r="CX90" s="373">
        <v>0</v>
      </c>
      <c r="CY90" s="373">
        <v>0</v>
      </c>
      <c r="CZ90" s="373">
        <v>0</v>
      </c>
      <c r="DA90" s="373">
        <v>0</v>
      </c>
      <c r="DB90" s="373">
        <v>0</v>
      </c>
      <c r="DC90" s="373">
        <v>0</v>
      </c>
      <c r="DD90" s="373">
        <v>0</v>
      </c>
      <c r="DE90" s="373">
        <v>0</v>
      </c>
      <c r="DF90" s="373">
        <v>0</v>
      </c>
      <c r="DG90" s="373">
        <v>0</v>
      </c>
      <c r="DH90" s="373">
        <v>0</v>
      </c>
      <c r="DI90" s="373">
        <v>0</v>
      </c>
      <c r="DJ90" s="373">
        <v>0</v>
      </c>
      <c r="DK90" s="373">
        <v>0</v>
      </c>
      <c r="DL90" s="373">
        <v>0</v>
      </c>
      <c r="DM90" s="373">
        <v>0</v>
      </c>
      <c r="DN90" s="373">
        <v>0</v>
      </c>
      <c r="DO90" s="373">
        <v>0</v>
      </c>
      <c r="DP90" s="373">
        <v>0</v>
      </c>
      <c r="DQ90" s="373">
        <v>0</v>
      </c>
      <c r="DR90" s="373">
        <v>0</v>
      </c>
      <c r="DS90" s="365">
        <v>0</v>
      </c>
      <c r="DT90" s="374">
        <f t="shared" si="64"/>
        <v>61056.45</v>
      </c>
      <c r="DU90" s="375">
        <f t="shared" si="65"/>
        <v>0</v>
      </c>
      <c r="DV90" s="376"/>
      <c r="DW90" s="138" t="b">
        <f t="shared" si="66"/>
        <v>1</v>
      </c>
    </row>
    <row r="91" spans="1:127" s="138" customFormat="1" ht="12" customHeight="1">
      <c r="A91" s="169" t="s">
        <v>447</v>
      </c>
      <c r="B91" s="170"/>
      <c r="C91" s="171" t="s">
        <v>282</v>
      </c>
      <c r="D91" s="171"/>
      <c r="E91" s="365">
        <f t="shared" si="53"/>
        <v>64.61</v>
      </c>
      <c r="F91" s="365">
        <f t="shared" si="54"/>
        <v>0</v>
      </c>
      <c r="G91" s="365">
        <f t="shared" si="52"/>
        <v>64.61</v>
      </c>
      <c r="H91" s="365">
        <f t="shared" si="55"/>
        <v>0</v>
      </c>
      <c r="I91" s="365">
        <f t="shared" si="67"/>
        <v>149.1</v>
      </c>
      <c r="J91" s="366">
        <f t="shared" si="57"/>
        <v>0</v>
      </c>
      <c r="K91" s="378"/>
      <c r="L91" s="378"/>
      <c r="M91" s="365"/>
      <c r="N91" s="379">
        <f t="shared" si="56"/>
        <v>945</v>
      </c>
      <c r="O91" s="382">
        <f t="shared" si="58"/>
        <v>61056.45</v>
      </c>
      <c r="P91" s="370">
        <f t="shared" si="59"/>
        <v>945</v>
      </c>
      <c r="Q91" s="172">
        <v>0.01</v>
      </c>
      <c r="R91" s="371">
        <f t="shared" si="60"/>
        <v>610.56449999999995</v>
      </c>
      <c r="S91" s="172">
        <v>0.04</v>
      </c>
      <c r="T91" s="371">
        <f t="shared" si="61"/>
        <v>2442.2579999999998</v>
      </c>
      <c r="U91" s="372">
        <f t="shared" si="62"/>
        <v>3</v>
      </c>
      <c r="V91" s="172">
        <v>0.95</v>
      </c>
      <c r="W91" s="371">
        <f t="shared" si="63"/>
        <v>58003.627499999995</v>
      </c>
      <c r="X91" s="373"/>
      <c r="Y91" s="373"/>
      <c r="Z91" s="373"/>
      <c r="AA91" s="373"/>
      <c r="AB91" s="373"/>
      <c r="AC91" s="373"/>
      <c r="AD91" s="373"/>
      <c r="AE91" s="373"/>
      <c r="AF91" s="373">
        <f>+$R91</f>
        <v>610.56449999999995</v>
      </c>
      <c r="AG91" s="373">
        <f>+$T91/3</f>
        <v>814.0859999999999</v>
      </c>
      <c r="AH91" s="373">
        <f>+$T91/3</f>
        <v>814.0859999999999</v>
      </c>
      <c r="AI91" s="373">
        <f>+$T91/3</f>
        <v>814.0859999999999</v>
      </c>
      <c r="AJ91" s="373">
        <f>+$W91</f>
        <v>58003.627499999995</v>
      </c>
      <c r="AK91" s="373">
        <v>0</v>
      </c>
      <c r="AL91" s="373">
        <v>0</v>
      </c>
      <c r="AM91" s="373">
        <v>0</v>
      </c>
      <c r="AN91" s="373">
        <v>0</v>
      </c>
      <c r="AO91" s="373">
        <v>0</v>
      </c>
      <c r="AP91" s="373">
        <v>0</v>
      </c>
      <c r="AQ91" s="373">
        <v>0</v>
      </c>
      <c r="AR91" s="373">
        <v>0</v>
      </c>
      <c r="AS91" s="373">
        <v>0</v>
      </c>
      <c r="AT91" s="373">
        <v>0</v>
      </c>
      <c r="AU91" s="373">
        <v>0</v>
      </c>
      <c r="AV91" s="373">
        <v>0</v>
      </c>
      <c r="AW91" s="373">
        <v>0</v>
      </c>
      <c r="AX91" s="373">
        <v>0</v>
      </c>
      <c r="AY91" s="373">
        <v>0</v>
      </c>
      <c r="AZ91" s="373">
        <v>0</v>
      </c>
      <c r="BA91" s="373">
        <v>0</v>
      </c>
      <c r="BB91" s="373">
        <v>0</v>
      </c>
      <c r="BC91" s="373">
        <v>0</v>
      </c>
      <c r="BD91" s="373">
        <v>0</v>
      </c>
      <c r="BE91" s="373">
        <v>0</v>
      </c>
      <c r="BF91" s="373">
        <v>0</v>
      </c>
      <c r="BG91" s="373">
        <v>0</v>
      </c>
      <c r="BH91" s="373">
        <v>0</v>
      </c>
      <c r="BI91" s="373">
        <v>0</v>
      </c>
      <c r="BJ91" s="373">
        <v>0</v>
      </c>
      <c r="BK91" s="373">
        <v>0</v>
      </c>
      <c r="BL91" s="373">
        <v>0</v>
      </c>
      <c r="BM91" s="373">
        <v>0</v>
      </c>
      <c r="BN91" s="373">
        <v>0</v>
      </c>
      <c r="BO91" s="373">
        <v>0</v>
      </c>
      <c r="BP91" s="373">
        <v>0</v>
      </c>
      <c r="BQ91" s="373">
        <v>0</v>
      </c>
      <c r="BR91" s="373">
        <v>0</v>
      </c>
      <c r="BS91" s="373">
        <v>0</v>
      </c>
      <c r="BT91" s="373">
        <v>0</v>
      </c>
      <c r="BU91" s="373">
        <v>0</v>
      </c>
      <c r="BV91" s="373">
        <v>0</v>
      </c>
      <c r="BW91" s="373">
        <v>0</v>
      </c>
      <c r="BX91" s="373">
        <v>0</v>
      </c>
      <c r="BY91" s="373">
        <v>0</v>
      </c>
      <c r="BZ91" s="373">
        <v>0</v>
      </c>
      <c r="CA91" s="373">
        <v>0</v>
      </c>
      <c r="CB91" s="373">
        <v>0</v>
      </c>
      <c r="CC91" s="373">
        <v>0</v>
      </c>
      <c r="CD91" s="373">
        <v>0</v>
      </c>
      <c r="CE91" s="373">
        <v>0</v>
      </c>
      <c r="CF91" s="373">
        <v>0</v>
      </c>
      <c r="CG91" s="373">
        <v>0</v>
      </c>
      <c r="CH91" s="373">
        <v>0</v>
      </c>
      <c r="CI91" s="373">
        <v>0</v>
      </c>
      <c r="CJ91" s="373">
        <v>0</v>
      </c>
      <c r="CK91" s="373">
        <v>0</v>
      </c>
      <c r="CL91" s="373">
        <v>0</v>
      </c>
      <c r="CM91" s="373">
        <v>0</v>
      </c>
      <c r="CN91" s="373">
        <v>0</v>
      </c>
      <c r="CO91" s="373">
        <v>0</v>
      </c>
      <c r="CP91" s="373">
        <v>0</v>
      </c>
      <c r="CQ91" s="373">
        <v>0</v>
      </c>
      <c r="CR91" s="373">
        <v>0</v>
      </c>
      <c r="CS91" s="365">
        <v>0</v>
      </c>
      <c r="CT91" s="373">
        <v>0</v>
      </c>
      <c r="CU91" s="373">
        <v>0</v>
      </c>
      <c r="CV91" s="373">
        <v>0</v>
      </c>
      <c r="CW91" s="373">
        <v>0</v>
      </c>
      <c r="CX91" s="373">
        <v>0</v>
      </c>
      <c r="CY91" s="373">
        <v>0</v>
      </c>
      <c r="CZ91" s="373">
        <v>0</v>
      </c>
      <c r="DA91" s="373">
        <v>0</v>
      </c>
      <c r="DB91" s="373">
        <v>0</v>
      </c>
      <c r="DC91" s="373">
        <v>0</v>
      </c>
      <c r="DD91" s="373">
        <v>0</v>
      </c>
      <c r="DE91" s="373">
        <v>0</v>
      </c>
      <c r="DF91" s="373">
        <v>0</v>
      </c>
      <c r="DG91" s="373">
        <v>0</v>
      </c>
      <c r="DH91" s="373">
        <v>0</v>
      </c>
      <c r="DI91" s="373">
        <v>0</v>
      </c>
      <c r="DJ91" s="373">
        <v>0</v>
      </c>
      <c r="DK91" s="373">
        <v>0</v>
      </c>
      <c r="DL91" s="373">
        <v>0</v>
      </c>
      <c r="DM91" s="373">
        <v>0</v>
      </c>
      <c r="DN91" s="373">
        <v>0</v>
      </c>
      <c r="DO91" s="373">
        <v>0</v>
      </c>
      <c r="DP91" s="373">
        <v>0</v>
      </c>
      <c r="DQ91" s="373">
        <v>0</v>
      </c>
      <c r="DR91" s="373">
        <v>0</v>
      </c>
      <c r="DS91" s="365">
        <v>0</v>
      </c>
      <c r="DT91" s="374">
        <f t="shared" si="64"/>
        <v>61056.45</v>
      </c>
      <c r="DU91" s="375">
        <f t="shared" si="65"/>
        <v>0</v>
      </c>
      <c r="DV91" s="376"/>
      <c r="DW91" s="138" t="b">
        <f t="shared" si="66"/>
        <v>1</v>
      </c>
    </row>
    <row r="92" spans="1:127" s="138" customFormat="1" ht="12" customHeight="1">
      <c r="A92" s="169" t="s">
        <v>448</v>
      </c>
      <c r="B92" s="170"/>
      <c r="C92" s="171" t="s">
        <v>282</v>
      </c>
      <c r="D92" s="171"/>
      <c r="E92" s="365">
        <f t="shared" si="53"/>
        <v>64.61</v>
      </c>
      <c r="F92" s="365">
        <f t="shared" si="54"/>
        <v>0</v>
      </c>
      <c r="G92" s="365">
        <f t="shared" si="52"/>
        <v>64.61</v>
      </c>
      <c r="H92" s="365">
        <f t="shared" si="55"/>
        <v>0</v>
      </c>
      <c r="I92" s="365">
        <f t="shared" si="67"/>
        <v>149.1</v>
      </c>
      <c r="J92" s="366">
        <f t="shared" si="57"/>
        <v>0</v>
      </c>
      <c r="K92" s="378"/>
      <c r="L92" s="378"/>
      <c r="M92" s="365"/>
      <c r="N92" s="379">
        <f t="shared" si="56"/>
        <v>945</v>
      </c>
      <c r="O92" s="382">
        <f t="shared" si="58"/>
        <v>61056.45</v>
      </c>
      <c r="P92" s="370">
        <f t="shared" si="59"/>
        <v>945</v>
      </c>
      <c r="Q92" s="172">
        <v>0.01</v>
      </c>
      <c r="R92" s="371">
        <f t="shared" si="60"/>
        <v>610.56449999999995</v>
      </c>
      <c r="S92" s="172">
        <v>0.04</v>
      </c>
      <c r="T92" s="371">
        <f t="shared" si="61"/>
        <v>2442.2579999999998</v>
      </c>
      <c r="U92" s="372">
        <f t="shared" si="62"/>
        <v>1</v>
      </c>
      <c r="V92" s="172">
        <v>0.95</v>
      </c>
      <c r="W92" s="371">
        <f t="shared" si="63"/>
        <v>58003.627499999995</v>
      </c>
      <c r="X92" s="373"/>
      <c r="Y92" s="373"/>
      <c r="Z92" s="373"/>
      <c r="AA92" s="373"/>
      <c r="AB92" s="373"/>
      <c r="AC92" s="373"/>
      <c r="AD92" s="373"/>
      <c r="AE92" s="373"/>
      <c r="AF92" s="373">
        <f>+$R92</f>
        <v>610.56449999999995</v>
      </c>
      <c r="AG92" s="373">
        <f>+$T92/1</f>
        <v>2442.2579999999998</v>
      </c>
      <c r="AH92" s="373">
        <f>+$W92</f>
        <v>58003.627499999995</v>
      </c>
      <c r="AI92" s="373">
        <v>0</v>
      </c>
      <c r="AJ92" s="373">
        <v>0</v>
      </c>
      <c r="AK92" s="373">
        <v>0</v>
      </c>
      <c r="AL92" s="373">
        <v>0</v>
      </c>
      <c r="AM92" s="373">
        <v>0</v>
      </c>
      <c r="AN92" s="373">
        <v>0</v>
      </c>
      <c r="AO92" s="373">
        <v>0</v>
      </c>
      <c r="AP92" s="373">
        <v>0</v>
      </c>
      <c r="AQ92" s="373">
        <v>0</v>
      </c>
      <c r="AR92" s="373">
        <v>0</v>
      </c>
      <c r="AS92" s="373">
        <v>0</v>
      </c>
      <c r="AT92" s="373">
        <v>0</v>
      </c>
      <c r="AU92" s="373">
        <v>0</v>
      </c>
      <c r="AV92" s="373">
        <v>0</v>
      </c>
      <c r="AW92" s="373">
        <v>0</v>
      </c>
      <c r="AX92" s="373">
        <v>0</v>
      </c>
      <c r="AY92" s="373">
        <v>0</v>
      </c>
      <c r="AZ92" s="373">
        <v>0</v>
      </c>
      <c r="BA92" s="373">
        <v>0</v>
      </c>
      <c r="BB92" s="373">
        <v>0</v>
      </c>
      <c r="BC92" s="373">
        <v>0</v>
      </c>
      <c r="BD92" s="373">
        <v>0</v>
      </c>
      <c r="BE92" s="373">
        <v>0</v>
      </c>
      <c r="BF92" s="373">
        <v>0</v>
      </c>
      <c r="BG92" s="373">
        <v>0</v>
      </c>
      <c r="BH92" s="373">
        <v>0</v>
      </c>
      <c r="BI92" s="373">
        <v>0</v>
      </c>
      <c r="BJ92" s="373">
        <v>0</v>
      </c>
      <c r="BK92" s="373">
        <v>0</v>
      </c>
      <c r="BL92" s="373">
        <v>0</v>
      </c>
      <c r="BM92" s="373">
        <v>0</v>
      </c>
      <c r="BN92" s="373">
        <v>0</v>
      </c>
      <c r="BO92" s="373">
        <v>0</v>
      </c>
      <c r="BP92" s="373">
        <v>0</v>
      </c>
      <c r="BQ92" s="373">
        <v>0</v>
      </c>
      <c r="BR92" s="373">
        <v>0</v>
      </c>
      <c r="BS92" s="373">
        <v>0</v>
      </c>
      <c r="BT92" s="373">
        <v>0</v>
      </c>
      <c r="BU92" s="373">
        <v>0</v>
      </c>
      <c r="BV92" s="373">
        <v>0</v>
      </c>
      <c r="BW92" s="373">
        <v>0</v>
      </c>
      <c r="BX92" s="373">
        <v>0</v>
      </c>
      <c r="BY92" s="373">
        <v>0</v>
      </c>
      <c r="BZ92" s="373">
        <v>0</v>
      </c>
      <c r="CA92" s="373">
        <v>0</v>
      </c>
      <c r="CB92" s="373">
        <v>0</v>
      </c>
      <c r="CC92" s="373">
        <v>0</v>
      </c>
      <c r="CD92" s="373">
        <v>0</v>
      </c>
      <c r="CE92" s="373">
        <v>0</v>
      </c>
      <c r="CF92" s="373">
        <v>0</v>
      </c>
      <c r="CG92" s="373">
        <v>0</v>
      </c>
      <c r="CH92" s="373">
        <v>0</v>
      </c>
      <c r="CI92" s="373">
        <v>0</v>
      </c>
      <c r="CJ92" s="373">
        <v>0</v>
      </c>
      <c r="CK92" s="373">
        <v>0</v>
      </c>
      <c r="CL92" s="373">
        <v>0</v>
      </c>
      <c r="CM92" s="373">
        <v>0</v>
      </c>
      <c r="CN92" s="373">
        <v>0</v>
      </c>
      <c r="CO92" s="373">
        <v>0</v>
      </c>
      <c r="CP92" s="373">
        <v>0</v>
      </c>
      <c r="CQ92" s="373">
        <v>0</v>
      </c>
      <c r="CR92" s="373">
        <v>0</v>
      </c>
      <c r="CS92" s="365">
        <v>0</v>
      </c>
      <c r="CT92" s="373">
        <v>0</v>
      </c>
      <c r="CU92" s="373">
        <v>0</v>
      </c>
      <c r="CV92" s="373">
        <v>0</v>
      </c>
      <c r="CW92" s="373">
        <v>0</v>
      </c>
      <c r="CX92" s="373">
        <v>0</v>
      </c>
      <c r="CY92" s="373">
        <v>0</v>
      </c>
      <c r="CZ92" s="373">
        <v>0</v>
      </c>
      <c r="DA92" s="373">
        <v>0</v>
      </c>
      <c r="DB92" s="373">
        <v>0</v>
      </c>
      <c r="DC92" s="373">
        <v>0</v>
      </c>
      <c r="DD92" s="373">
        <v>0</v>
      </c>
      <c r="DE92" s="373">
        <v>0</v>
      </c>
      <c r="DF92" s="373">
        <v>0</v>
      </c>
      <c r="DG92" s="373">
        <v>0</v>
      </c>
      <c r="DH92" s="373">
        <v>0</v>
      </c>
      <c r="DI92" s="373">
        <v>0</v>
      </c>
      <c r="DJ92" s="373">
        <v>0</v>
      </c>
      <c r="DK92" s="373">
        <v>0</v>
      </c>
      <c r="DL92" s="373">
        <v>0</v>
      </c>
      <c r="DM92" s="373">
        <v>0</v>
      </c>
      <c r="DN92" s="373">
        <v>0</v>
      </c>
      <c r="DO92" s="373">
        <v>0</v>
      </c>
      <c r="DP92" s="373">
        <v>0</v>
      </c>
      <c r="DQ92" s="373">
        <v>0</v>
      </c>
      <c r="DR92" s="373">
        <v>0</v>
      </c>
      <c r="DS92" s="365">
        <v>0</v>
      </c>
      <c r="DT92" s="374">
        <f t="shared" si="64"/>
        <v>61056.45</v>
      </c>
      <c r="DU92" s="375">
        <f t="shared" si="65"/>
        <v>0</v>
      </c>
      <c r="DV92" s="376"/>
      <c r="DW92" s="138" t="b">
        <f t="shared" si="66"/>
        <v>1</v>
      </c>
    </row>
    <row r="93" spans="1:127" s="138" customFormat="1" ht="12" customHeight="1">
      <c r="A93" s="169" t="s">
        <v>449</v>
      </c>
      <c r="B93" s="170"/>
      <c r="C93" s="171" t="s">
        <v>282</v>
      </c>
      <c r="D93" s="171"/>
      <c r="E93" s="365">
        <f t="shared" si="53"/>
        <v>64.61</v>
      </c>
      <c r="F93" s="365">
        <f t="shared" si="54"/>
        <v>0</v>
      </c>
      <c r="G93" s="365">
        <f t="shared" si="52"/>
        <v>64.61</v>
      </c>
      <c r="H93" s="365">
        <f t="shared" si="55"/>
        <v>0</v>
      </c>
      <c r="I93" s="365">
        <f t="shared" si="67"/>
        <v>149.1</v>
      </c>
      <c r="J93" s="366">
        <f t="shared" si="57"/>
        <v>0</v>
      </c>
      <c r="K93" s="378" t="s">
        <v>450</v>
      </c>
      <c r="L93" s="378" t="s">
        <v>329</v>
      </c>
      <c r="M93" s="365">
        <v>5000</v>
      </c>
      <c r="N93" s="379">
        <f t="shared" si="56"/>
        <v>945</v>
      </c>
      <c r="O93" s="385">
        <f t="shared" si="58"/>
        <v>66056.45</v>
      </c>
      <c r="P93" s="370">
        <f t="shared" si="59"/>
        <v>1022.3874013310633</v>
      </c>
      <c r="Q93" s="172">
        <v>0.01</v>
      </c>
      <c r="R93" s="371">
        <f t="shared" si="60"/>
        <v>660.56449999999995</v>
      </c>
      <c r="S93" s="172">
        <v>0.04</v>
      </c>
      <c r="T93" s="371">
        <f t="shared" si="61"/>
        <v>2642.2579999999998</v>
      </c>
      <c r="U93" s="372">
        <f t="shared" si="62"/>
        <v>5</v>
      </c>
      <c r="V93" s="172">
        <v>0.95</v>
      </c>
      <c r="W93" s="371">
        <f t="shared" si="63"/>
        <v>62753.627499999995</v>
      </c>
      <c r="X93" s="373"/>
      <c r="Y93" s="373"/>
      <c r="Z93" s="373"/>
      <c r="AA93" s="373"/>
      <c r="AB93" s="373"/>
      <c r="AC93" s="373"/>
      <c r="AD93" s="373"/>
      <c r="AE93" s="373"/>
      <c r="AF93" s="373">
        <f>+$R93</f>
        <v>660.56449999999995</v>
      </c>
      <c r="AG93" s="373">
        <f>+$T93/5</f>
        <v>528.45159999999998</v>
      </c>
      <c r="AH93" s="373">
        <f>+$T93/5</f>
        <v>528.45159999999998</v>
      </c>
      <c r="AI93" s="373">
        <f>+$T93/5</f>
        <v>528.45159999999998</v>
      </c>
      <c r="AJ93" s="373">
        <f>+$T93/5</f>
        <v>528.45159999999998</v>
      </c>
      <c r="AK93" s="373">
        <f>+$T93/5</f>
        <v>528.45159999999998</v>
      </c>
      <c r="AL93" s="373">
        <f>+$W93</f>
        <v>62753.627499999995</v>
      </c>
      <c r="AM93" s="373">
        <v>0</v>
      </c>
      <c r="AN93" s="373">
        <v>0</v>
      </c>
      <c r="AO93" s="373">
        <v>0</v>
      </c>
      <c r="AP93" s="373">
        <v>0</v>
      </c>
      <c r="AQ93" s="373">
        <v>0</v>
      </c>
      <c r="AR93" s="373">
        <v>0</v>
      </c>
      <c r="AS93" s="373">
        <v>0</v>
      </c>
      <c r="AT93" s="373">
        <v>0</v>
      </c>
      <c r="AU93" s="373">
        <v>0</v>
      </c>
      <c r="AV93" s="373">
        <v>0</v>
      </c>
      <c r="AW93" s="373">
        <v>0</v>
      </c>
      <c r="AX93" s="373">
        <v>0</v>
      </c>
      <c r="AY93" s="373">
        <v>0</v>
      </c>
      <c r="AZ93" s="373">
        <v>0</v>
      </c>
      <c r="BA93" s="373">
        <v>0</v>
      </c>
      <c r="BB93" s="373">
        <v>0</v>
      </c>
      <c r="BC93" s="373">
        <v>0</v>
      </c>
      <c r="BD93" s="373">
        <v>0</v>
      </c>
      <c r="BE93" s="373">
        <v>0</v>
      </c>
      <c r="BF93" s="373">
        <v>0</v>
      </c>
      <c r="BG93" s="373">
        <v>0</v>
      </c>
      <c r="BH93" s="373">
        <v>0</v>
      </c>
      <c r="BI93" s="373">
        <v>0</v>
      </c>
      <c r="BJ93" s="373">
        <v>0</v>
      </c>
      <c r="BK93" s="373">
        <v>0</v>
      </c>
      <c r="BL93" s="373">
        <v>0</v>
      </c>
      <c r="BM93" s="373">
        <v>0</v>
      </c>
      <c r="BN93" s="373">
        <v>0</v>
      </c>
      <c r="BO93" s="373">
        <v>0</v>
      </c>
      <c r="BP93" s="373">
        <v>0</v>
      </c>
      <c r="BQ93" s="373">
        <v>0</v>
      </c>
      <c r="BR93" s="373">
        <v>0</v>
      </c>
      <c r="BS93" s="373">
        <v>0</v>
      </c>
      <c r="BT93" s="373">
        <v>0</v>
      </c>
      <c r="BU93" s="373">
        <v>0</v>
      </c>
      <c r="BV93" s="373">
        <v>0</v>
      </c>
      <c r="BW93" s="373">
        <v>0</v>
      </c>
      <c r="BX93" s="373">
        <v>0</v>
      </c>
      <c r="BY93" s="373">
        <v>0</v>
      </c>
      <c r="BZ93" s="373">
        <v>0</v>
      </c>
      <c r="CA93" s="373">
        <v>0</v>
      </c>
      <c r="CB93" s="373">
        <v>0</v>
      </c>
      <c r="CC93" s="373">
        <v>0</v>
      </c>
      <c r="CD93" s="373">
        <v>0</v>
      </c>
      <c r="CE93" s="373">
        <v>0</v>
      </c>
      <c r="CF93" s="373">
        <v>0</v>
      </c>
      <c r="CG93" s="373">
        <v>0</v>
      </c>
      <c r="CH93" s="373">
        <v>0</v>
      </c>
      <c r="CI93" s="373">
        <v>0</v>
      </c>
      <c r="CJ93" s="373">
        <v>0</v>
      </c>
      <c r="CK93" s="373">
        <v>0</v>
      </c>
      <c r="CL93" s="373">
        <v>0</v>
      </c>
      <c r="CM93" s="373">
        <v>0</v>
      </c>
      <c r="CN93" s="373">
        <v>0</v>
      </c>
      <c r="CO93" s="373">
        <v>0</v>
      </c>
      <c r="CP93" s="373">
        <v>0</v>
      </c>
      <c r="CQ93" s="373">
        <v>0</v>
      </c>
      <c r="CR93" s="373">
        <v>0</v>
      </c>
      <c r="CS93" s="365">
        <v>0</v>
      </c>
      <c r="CT93" s="373">
        <v>0</v>
      </c>
      <c r="CU93" s="373">
        <v>0</v>
      </c>
      <c r="CV93" s="373">
        <v>0</v>
      </c>
      <c r="CW93" s="373">
        <v>0</v>
      </c>
      <c r="CX93" s="373">
        <v>0</v>
      </c>
      <c r="CY93" s="373">
        <v>0</v>
      </c>
      <c r="CZ93" s="373">
        <v>0</v>
      </c>
      <c r="DA93" s="373">
        <v>0</v>
      </c>
      <c r="DB93" s="373">
        <v>0</v>
      </c>
      <c r="DC93" s="373">
        <v>0</v>
      </c>
      <c r="DD93" s="373">
        <v>0</v>
      </c>
      <c r="DE93" s="373">
        <v>0</v>
      </c>
      <c r="DF93" s="373">
        <v>0</v>
      </c>
      <c r="DG93" s="373">
        <v>0</v>
      </c>
      <c r="DH93" s="373">
        <v>0</v>
      </c>
      <c r="DI93" s="373">
        <v>0</v>
      </c>
      <c r="DJ93" s="373">
        <v>0</v>
      </c>
      <c r="DK93" s="373">
        <v>0</v>
      </c>
      <c r="DL93" s="373">
        <v>0</v>
      </c>
      <c r="DM93" s="373">
        <v>0</v>
      </c>
      <c r="DN93" s="373">
        <v>0</v>
      </c>
      <c r="DO93" s="373">
        <v>0</v>
      </c>
      <c r="DP93" s="373">
        <v>0</v>
      </c>
      <c r="DQ93" s="373">
        <v>0</v>
      </c>
      <c r="DR93" s="373">
        <v>0</v>
      </c>
      <c r="DS93" s="365">
        <v>0</v>
      </c>
      <c r="DT93" s="374">
        <f t="shared" si="64"/>
        <v>66056.45</v>
      </c>
      <c r="DU93" s="375">
        <f t="shared" si="65"/>
        <v>0</v>
      </c>
      <c r="DV93" s="376"/>
      <c r="DW93" s="138" t="b">
        <f t="shared" si="66"/>
        <v>1</v>
      </c>
    </row>
    <row r="94" spans="1:127" s="138" customFormat="1" ht="12" customHeight="1">
      <c r="A94" s="169" t="s">
        <v>451</v>
      </c>
      <c r="B94" s="170"/>
      <c r="C94" s="171" t="s">
        <v>282</v>
      </c>
      <c r="D94" s="171"/>
      <c r="E94" s="365">
        <f t="shared" si="53"/>
        <v>64.61</v>
      </c>
      <c r="F94" s="365">
        <f t="shared" si="54"/>
        <v>0</v>
      </c>
      <c r="G94" s="365">
        <f t="shared" si="52"/>
        <v>64.61</v>
      </c>
      <c r="H94" s="365">
        <f t="shared" si="55"/>
        <v>0</v>
      </c>
      <c r="I94" s="365">
        <f t="shared" si="67"/>
        <v>149.1</v>
      </c>
      <c r="J94" s="366">
        <f t="shared" si="57"/>
        <v>0</v>
      </c>
      <c r="K94" s="378" t="s">
        <v>452</v>
      </c>
      <c r="L94" s="378" t="s">
        <v>329</v>
      </c>
      <c r="M94" s="365">
        <v>5000</v>
      </c>
      <c r="N94" s="379">
        <f t="shared" si="56"/>
        <v>945</v>
      </c>
      <c r="O94" s="385">
        <f t="shared" si="58"/>
        <v>66056.45</v>
      </c>
      <c r="P94" s="370">
        <f t="shared" si="59"/>
        <v>1022.3874013310633</v>
      </c>
      <c r="Q94" s="172">
        <v>0.01</v>
      </c>
      <c r="R94" s="371">
        <f t="shared" si="60"/>
        <v>660.56449999999995</v>
      </c>
      <c r="S94" s="172">
        <v>0.04</v>
      </c>
      <c r="T94" s="371">
        <f t="shared" si="61"/>
        <v>2642.2579999999998</v>
      </c>
      <c r="U94" s="372">
        <f t="shared" si="62"/>
        <v>3</v>
      </c>
      <c r="V94" s="172">
        <v>0.95</v>
      </c>
      <c r="W94" s="371">
        <f t="shared" si="63"/>
        <v>62753.627499999995</v>
      </c>
      <c r="X94" s="373"/>
      <c r="Y94" s="373"/>
      <c r="Z94" s="373"/>
      <c r="AA94" s="373"/>
      <c r="AB94" s="373"/>
      <c r="AC94" s="373"/>
      <c r="AD94" s="373"/>
      <c r="AE94" s="373"/>
      <c r="AF94" s="373">
        <f>+$R94</f>
        <v>660.56449999999995</v>
      </c>
      <c r="AG94" s="373">
        <f>+$T94/3</f>
        <v>880.75266666666664</v>
      </c>
      <c r="AH94" s="373">
        <f>+$T94/3</f>
        <v>880.75266666666664</v>
      </c>
      <c r="AI94" s="373">
        <f>+$T94/3</f>
        <v>880.75266666666664</v>
      </c>
      <c r="AJ94" s="373">
        <f>+$W94</f>
        <v>62753.627499999995</v>
      </c>
      <c r="AK94" s="373">
        <v>0</v>
      </c>
      <c r="AL94" s="373">
        <v>0</v>
      </c>
      <c r="AM94" s="373">
        <v>0</v>
      </c>
      <c r="AN94" s="373">
        <v>0</v>
      </c>
      <c r="AO94" s="373">
        <v>0</v>
      </c>
      <c r="AP94" s="373">
        <v>0</v>
      </c>
      <c r="AQ94" s="373">
        <v>0</v>
      </c>
      <c r="AR94" s="373">
        <v>0</v>
      </c>
      <c r="AS94" s="373">
        <v>0</v>
      </c>
      <c r="AT94" s="373">
        <v>0</v>
      </c>
      <c r="AU94" s="373">
        <v>0</v>
      </c>
      <c r="AV94" s="373">
        <v>0</v>
      </c>
      <c r="AW94" s="373">
        <v>0</v>
      </c>
      <c r="AX94" s="373">
        <v>0</v>
      </c>
      <c r="AY94" s="373">
        <v>0</v>
      </c>
      <c r="AZ94" s="373">
        <v>0</v>
      </c>
      <c r="BA94" s="373">
        <v>0</v>
      </c>
      <c r="BB94" s="373">
        <v>0</v>
      </c>
      <c r="BC94" s="373">
        <v>0</v>
      </c>
      <c r="BD94" s="373">
        <v>0</v>
      </c>
      <c r="BE94" s="373">
        <v>0</v>
      </c>
      <c r="BF94" s="373">
        <v>0</v>
      </c>
      <c r="BG94" s="373">
        <v>0</v>
      </c>
      <c r="BH94" s="373">
        <v>0</v>
      </c>
      <c r="BI94" s="373">
        <v>0</v>
      </c>
      <c r="BJ94" s="373">
        <v>0</v>
      </c>
      <c r="BK94" s="373">
        <v>0</v>
      </c>
      <c r="BL94" s="373">
        <v>0</v>
      </c>
      <c r="BM94" s="373">
        <v>0</v>
      </c>
      <c r="BN94" s="373">
        <v>0</v>
      </c>
      <c r="BO94" s="373">
        <v>0</v>
      </c>
      <c r="BP94" s="373">
        <v>0</v>
      </c>
      <c r="BQ94" s="373">
        <v>0</v>
      </c>
      <c r="BR94" s="373">
        <v>0</v>
      </c>
      <c r="BS94" s="373">
        <v>0</v>
      </c>
      <c r="BT94" s="373">
        <v>0</v>
      </c>
      <c r="BU94" s="373">
        <v>0</v>
      </c>
      <c r="BV94" s="373">
        <v>0</v>
      </c>
      <c r="BW94" s="373">
        <v>0</v>
      </c>
      <c r="BX94" s="373">
        <v>0</v>
      </c>
      <c r="BY94" s="373">
        <v>0</v>
      </c>
      <c r="BZ94" s="373">
        <v>0</v>
      </c>
      <c r="CA94" s="373">
        <v>0</v>
      </c>
      <c r="CB94" s="373">
        <v>0</v>
      </c>
      <c r="CC94" s="373">
        <v>0</v>
      </c>
      <c r="CD94" s="373">
        <v>0</v>
      </c>
      <c r="CE94" s="373">
        <v>0</v>
      </c>
      <c r="CF94" s="373">
        <v>0</v>
      </c>
      <c r="CG94" s="373">
        <v>0</v>
      </c>
      <c r="CH94" s="373">
        <v>0</v>
      </c>
      <c r="CI94" s="373">
        <v>0</v>
      </c>
      <c r="CJ94" s="373">
        <v>0</v>
      </c>
      <c r="CK94" s="373">
        <v>0</v>
      </c>
      <c r="CL94" s="373">
        <v>0</v>
      </c>
      <c r="CM94" s="373">
        <v>0</v>
      </c>
      <c r="CN94" s="373">
        <v>0</v>
      </c>
      <c r="CO94" s="373">
        <v>0</v>
      </c>
      <c r="CP94" s="373">
        <v>0</v>
      </c>
      <c r="CQ94" s="373">
        <v>0</v>
      </c>
      <c r="CR94" s="373">
        <v>0</v>
      </c>
      <c r="CS94" s="365">
        <v>0</v>
      </c>
      <c r="CT94" s="373">
        <v>0</v>
      </c>
      <c r="CU94" s="373">
        <v>0</v>
      </c>
      <c r="CV94" s="373">
        <v>0</v>
      </c>
      <c r="CW94" s="373">
        <v>0</v>
      </c>
      <c r="CX94" s="373">
        <v>0</v>
      </c>
      <c r="CY94" s="373">
        <v>0</v>
      </c>
      <c r="CZ94" s="373">
        <v>0</v>
      </c>
      <c r="DA94" s="373">
        <v>0</v>
      </c>
      <c r="DB94" s="373">
        <v>0</v>
      </c>
      <c r="DC94" s="373">
        <v>0</v>
      </c>
      <c r="DD94" s="373">
        <v>0</v>
      </c>
      <c r="DE94" s="373">
        <v>0</v>
      </c>
      <c r="DF94" s="373">
        <v>0</v>
      </c>
      <c r="DG94" s="373">
        <v>0</v>
      </c>
      <c r="DH94" s="373">
        <v>0</v>
      </c>
      <c r="DI94" s="373">
        <v>0</v>
      </c>
      <c r="DJ94" s="373">
        <v>0</v>
      </c>
      <c r="DK94" s="373">
        <v>0</v>
      </c>
      <c r="DL94" s="373">
        <v>0</v>
      </c>
      <c r="DM94" s="373">
        <v>0</v>
      </c>
      <c r="DN94" s="373">
        <v>0</v>
      </c>
      <c r="DO94" s="373">
        <v>0</v>
      </c>
      <c r="DP94" s="373">
        <v>0</v>
      </c>
      <c r="DQ94" s="373">
        <v>0</v>
      </c>
      <c r="DR94" s="373">
        <v>0</v>
      </c>
      <c r="DS94" s="365">
        <v>0</v>
      </c>
      <c r="DT94" s="374">
        <f t="shared" si="64"/>
        <v>66056.45</v>
      </c>
      <c r="DU94" s="375">
        <f t="shared" si="65"/>
        <v>0</v>
      </c>
      <c r="DV94" s="376"/>
      <c r="DW94" s="138" t="b">
        <f t="shared" si="66"/>
        <v>1</v>
      </c>
    </row>
    <row r="95" spans="1:127" s="138" customFormat="1" ht="12" customHeight="1">
      <c r="A95" s="169" t="s">
        <v>453</v>
      </c>
      <c r="B95" s="170"/>
      <c r="C95" s="171" t="s">
        <v>282</v>
      </c>
      <c r="D95" s="171"/>
      <c r="E95" s="365">
        <f t="shared" si="53"/>
        <v>64.61</v>
      </c>
      <c r="F95" s="365">
        <f t="shared" si="54"/>
        <v>0</v>
      </c>
      <c r="G95" s="365">
        <f t="shared" si="52"/>
        <v>64.61</v>
      </c>
      <c r="H95" s="365">
        <f t="shared" si="55"/>
        <v>0</v>
      </c>
      <c r="I95" s="365">
        <f t="shared" si="67"/>
        <v>149.1</v>
      </c>
      <c r="J95" s="366">
        <f t="shared" si="57"/>
        <v>0</v>
      </c>
      <c r="K95" s="378" t="s">
        <v>454</v>
      </c>
      <c r="L95" s="378" t="s">
        <v>329</v>
      </c>
      <c r="M95" s="365">
        <v>5000</v>
      </c>
      <c r="N95" s="379">
        <f t="shared" si="56"/>
        <v>945</v>
      </c>
      <c r="O95" s="385">
        <f t="shared" si="58"/>
        <v>66056.45</v>
      </c>
      <c r="P95" s="370">
        <f t="shared" si="59"/>
        <v>1022.3874013310633</v>
      </c>
      <c r="Q95" s="172">
        <v>0.01</v>
      </c>
      <c r="R95" s="371">
        <f t="shared" si="60"/>
        <v>660.56449999999995</v>
      </c>
      <c r="S95" s="172">
        <v>0.04</v>
      </c>
      <c r="T95" s="371">
        <f t="shared" si="61"/>
        <v>2642.2579999999998</v>
      </c>
      <c r="U95" s="372">
        <f t="shared" si="62"/>
        <v>1</v>
      </c>
      <c r="V95" s="172">
        <v>0.95</v>
      </c>
      <c r="W95" s="371">
        <f t="shared" si="63"/>
        <v>62753.627499999995</v>
      </c>
      <c r="X95" s="373"/>
      <c r="Y95" s="373"/>
      <c r="Z95" s="373"/>
      <c r="AA95" s="373"/>
      <c r="AB95" s="373"/>
      <c r="AC95" s="373"/>
      <c r="AD95" s="373"/>
      <c r="AE95" s="373"/>
      <c r="AF95" s="373"/>
      <c r="AG95" s="373">
        <f>+$R95</f>
        <v>660.56449999999995</v>
      </c>
      <c r="AH95" s="373">
        <f>+$T95/1</f>
        <v>2642.2579999999998</v>
      </c>
      <c r="AI95" s="373">
        <f>+$W95</f>
        <v>62753.627499999995</v>
      </c>
      <c r="AJ95" s="373">
        <v>0</v>
      </c>
      <c r="AK95" s="373">
        <v>0</v>
      </c>
      <c r="AL95" s="373">
        <v>0</v>
      </c>
      <c r="AM95" s="373">
        <v>0</v>
      </c>
      <c r="AN95" s="373">
        <v>0</v>
      </c>
      <c r="AO95" s="373">
        <v>0</v>
      </c>
      <c r="AP95" s="373">
        <v>0</v>
      </c>
      <c r="AQ95" s="373">
        <v>0</v>
      </c>
      <c r="AR95" s="373">
        <v>0</v>
      </c>
      <c r="AS95" s="373">
        <v>0</v>
      </c>
      <c r="AT95" s="373">
        <v>0</v>
      </c>
      <c r="AU95" s="373">
        <v>0</v>
      </c>
      <c r="AV95" s="373">
        <v>0</v>
      </c>
      <c r="AW95" s="373">
        <v>0</v>
      </c>
      <c r="AX95" s="373">
        <v>0</v>
      </c>
      <c r="AY95" s="373">
        <v>0</v>
      </c>
      <c r="AZ95" s="373">
        <v>0</v>
      </c>
      <c r="BA95" s="373">
        <v>0</v>
      </c>
      <c r="BB95" s="373">
        <v>0</v>
      </c>
      <c r="BC95" s="373">
        <v>0</v>
      </c>
      <c r="BD95" s="373">
        <v>0</v>
      </c>
      <c r="BE95" s="373">
        <v>0</v>
      </c>
      <c r="BF95" s="373">
        <v>0</v>
      </c>
      <c r="BG95" s="373">
        <v>0</v>
      </c>
      <c r="BH95" s="373">
        <v>0</v>
      </c>
      <c r="BI95" s="373">
        <v>0</v>
      </c>
      <c r="BJ95" s="373">
        <v>0</v>
      </c>
      <c r="BK95" s="373">
        <v>0</v>
      </c>
      <c r="BL95" s="373">
        <v>0</v>
      </c>
      <c r="BM95" s="373">
        <v>0</v>
      </c>
      <c r="BN95" s="373">
        <v>0</v>
      </c>
      <c r="BO95" s="373">
        <v>0</v>
      </c>
      <c r="BP95" s="373">
        <v>0</v>
      </c>
      <c r="BQ95" s="373">
        <v>0</v>
      </c>
      <c r="BR95" s="373">
        <v>0</v>
      </c>
      <c r="BS95" s="373">
        <v>0</v>
      </c>
      <c r="BT95" s="373">
        <v>0</v>
      </c>
      <c r="BU95" s="373">
        <v>0</v>
      </c>
      <c r="BV95" s="373">
        <v>0</v>
      </c>
      <c r="BW95" s="373">
        <v>0</v>
      </c>
      <c r="BX95" s="373">
        <v>0</v>
      </c>
      <c r="BY95" s="373">
        <v>0</v>
      </c>
      <c r="BZ95" s="373">
        <v>0</v>
      </c>
      <c r="CA95" s="373">
        <v>0</v>
      </c>
      <c r="CB95" s="373">
        <v>0</v>
      </c>
      <c r="CC95" s="373">
        <v>0</v>
      </c>
      <c r="CD95" s="373">
        <v>0</v>
      </c>
      <c r="CE95" s="373">
        <v>0</v>
      </c>
      <c r="CF95" s="373">
        <v>0</v>
      </c>
      <c r="CG95" s="373">
        <v>0</v>
      </c>
      <c r="CH95" s="373">
        <v>0</v>
      </c>
      <c r="CI95" s="373">
        <v>0</v>
      </c>
      <c r="CJ95" s="373">
        <v>0</v>
      </c>
      <c r="CK95" s="373">
        <v>0</v>
      </c>
      <c r="CL95" s="373">
        <v>0</v>
      </c>
      <c r="CM95" s="373">
        <v>0</v>
      </c>
      <c r="CN95" s="373">
        <v>0</v>
      </c>
      <c r="CO95" s="373">
        <v>0</v>
      </c>
      <c r="CP95" s="373">
        <v>0</v>
      </c>
      <c r="CQ95" s="373">
        <v>0</v>
      </c>
      <c r="CR95" s="373">
        <v>0</v>
      </c>
      <c r="CS95" s="365">
        <v>0</v>
      </c>
      <c r="CT95" s="373">
        <v>0</v>
      </c>
      <c r="CU95" s="373">
        <v>0</v>
      </c>
      <c r="CV95" s="373">
        <v>0</v>
      </c>
      <c r="CW95" s="373">
        <v>0</v>
      </c>
      <c r="CX95" s="373">
        <v>0</v>
      </c>
      <c r="CY95" s="373">
        <v>0</v>
      </c>
      <c r="CZ95" s="373">
        <v>0</v>
      </c>
      <c r="DA95" s="373">
        <v>0</v>
      </c>
      <c r="DB95" s="373">
        <v>0</v>
      </c>
      <c r="DC95" s="373">
        <v>0</v>
      </c>
      <c r="DD95" s="373">
        <v>0</v>
      </c>
      <c r="DE95" s="373">
        <v>0</v>
      </c>
      <c r="DF95" s="373">
        <v>0</v>
      </c>
      <c r="DG95" s="373">
        <v>0</v>
      </c>
      <c r="DH95" s="373">
        <v>0</v>
      </c>
      <c r="DI95" s="373">
        <v>0</v>
      </c>
      <c r="DJ95" s="373">
        <v>0</v>
      </c>
      <c r="DK95" s="373">
        <v>0</v>
      </c>
      <c r="DL95" s="373">
        <v>0</v>
      </c>
      <c r="DM95" s="373">
        <v>0</v>
      </c>
      <c r="DN95" s="373">
        <v>0</v>
      </c>
      <c r="DO95" s="373">
        <v>0</v>
      </c>
      <c r="DP95" s="373">
        <v>0</v>
      </c>
      <c r="DQ95" s="373">
        <v>0</v>
      </c>
      <c r="DR95" s="373">
        <v>0</v>
      </c>
      <c r="DS95" s="365">
        <v>0</v>
      </c>
      <c r="DT95" s="374">
        <f t="shared" si="64"/>
        <v>66056.45</v>
      </c>
      <c r="DU95" s="375">
        <f t="shared" si="65"/>
        <v>0</v>
      </c>
      <c r="DV95" s="376"/>
      <c r="DW95" s="138" t="b">
        <f t="shared" si="66"/>
        <v>1</v>
      </c>
    </row>
    <row r="96" spans="1:127" s="138" customFormat="1" ht="12" customHeight="1">
      <c r="A96" s="169" t="s">
        <v>455</v>
      </c>
      <c r="B96" s="170"/>
      <c r="C96" s="171" t="s">
        <v>282</v>
      </c>
      <c r="D96" s="171"/>
      <c r="E96" s="365">
        <f t="shared" si="53"/>
        <v>64.61</v>
      </c>
      <c r="F96" s="365">
        <f t="shared" si="54"/>
        <v>0</v>
      </c>
      <c r="G96" s="365">
        <f t="shared" si="52"/>
        <v>64.61</v>
      </c>
      <c r="H96" s="365">
        <f t="shared" si="55"/>
        <v>0</v>
      </c>
      <c r="I96" s="365">
        <f t="shared" si="67"/>
        <v>149.1</v>
      </c>
      <c r="J96" s="366">
        <f t="shared" si="57"/>
        <v>0</v>
      </c>
      <c r="K96" s="378" t="s">
        <v>456</v>
      </c>
      <c r="L96" s="378" t="s">
        <v>329</v>
      </c>
      <c r="M96" s="365">
        <v>5000</v>
      </c>
      <c r="N96" s="379">
        <f t="shared" si="56"/>
        <v>945</v>
      </c>
      <c r="O96" s="385">
        <f t="shared" si="58"/>
        <v>66056.45</v>
      </c>
      <c r="P96" s="370">
        <f t="shared" si="59"/>
        <v>1022.3874013310633</v>
      </c>
      <c r="Q96" s="172">
        <v>0.01</v>
      </c>
      <c r="R96" s="371">
        <f t="shared" si="60"/>
        <v>660.56449999999995</v>
      </c>
      <c r="S96" s="172">
        <v>0.04</v>
      </c>
      <c r="T96" s="371">
        <f t="shared" si="61"/>
        <v>2642.2579999999998</v>
      </c>
      <c r="U96" s="372">
        <f t="shared" si="62"/>
        <v>5</v>
      </c>
      <c r="V96" s="172">
        <v>0.95</v>
      </c>
      <c r="W96" s="371">
        <f t="shared" si="63"/>
        <v>62753.627499999995</v>
      </c>
      <c r="X96" s="373"/>
      <c r="Y96" s="373"/>
      <c r="Z96" s="373"/>
      <c r="AA96" s="373"/>
      <c r="AB96" s="373"/>
      <c r="AC96" s="373"/>
      <c r="AD96" s="373"/>
      <c r="AE96" s="373"/>
      <c r="AF96" s="373"/>
      <c r="AG96" s="373">
        <f>+$R96</f>
        <v>660.56449999999995</v>
      </c>
      <c r="AH96" s="373">
        <f>+$T96/5</f>
        <v>528.45159999999998</v>
      </c>
      <c r="AI96" s="373">
        <f>+$T96/5</f>
        <v>528.45159999999998</v>
      </c>
      <c r="AJ96" s="373">
        <f>+$T96/5</f>
        <v>528.45159999999998</v>
      </c>
      <c r="AK96" s="373">
        <f>+$T96/5</f>
        <v>528.45159999999998</v>
      </c>
      <c r="AL96" s="373">
        <f>+$T96/5</f>
        <v>528.45159999999998</v>
      </c>
      <c r="AM96" s="373">
        <f>+$W96</f>
        <v>62753.627499999995</v>
      </c>
      <c r="AN96" s="373">
        <v>0</v>
      </c>
      <c r="AO96" s="373">
        <v>0</v>
      </c>
      <c r="AP96" s="373">
        <v>0</v>
      </c>
      <c r="AQ96" s="373">
        <v>0</v>
      </c>
      <c r="AR96" s="373">
        <v>0</v>
      </c>
      <c r="AS96" s="373">
        <v>0</v>
      </c>
      <c r="AT96" s="373">
        <v>0</v>
      </c>
      <c r="AU96" s="373">
        <v>0</v>
      </c>
      <c r="AV96" s="373">
        <v>0</v>
      </c>
      <c r="AW96" s="373">
        <v>0</v>
      </c>
      <c r="AX96" s="373">
        <v>0</v>
      </c>
      <c r="AY96" s="373">
        <v>0</v>
      </c>
      <c r="AZ96" s="373">
        <v>0</v>
      </c>
      <c r="BA96" s="373">
        <v>0</v>
      </c>
      <c r="BB96" s="373">
        <v>0</v>
      </c>
      <c r="BC96" s="373">
        <v>0</v>
      </c>
      <c r="BD96" s="373">
        <v>0</v>
      </c>
      <c r="BE96" s="373">
        <v>0</v>
      </c>
      <c r="BF96" s="373">
        <v>0</v>
      </c>
      <c r="BG96" s="373">
        <v>0</v>
      </c>
      <c r="BH96" s="373">
        <v>0</v>
      </c>
      <c r="BI96" s="373">
        <v>0</v>
      </c>
      <c r="BJ96" s="373">
        <v>0</v>
      </c>
      <c r="BK96" s="373">
        <v>0</v>
      </c>
      <c r="BL96" s="373">
        <v>0</v>
      </c>
      <c r="BM96" s="373">
        <v>0</v>
      </c>
      <c r="BN96" s="373">
        <v>0</v>
      </c>
      <c r="BO96" s="373">
        <v>0</v>
      </c>
      <c r="BP96" s="373">
        <v>0</v>
      </c>
      <c r="BQ96" s="373">
        <v>0</v>
      </c>
      <c r="BR96" s="373">
        <v>0</v>
      </c>
      <c r="BS96" s="373">
        <v>0</v>
      </c>
      <c r="BT96" s="373">
        <v>0</v>
      </c>
      <c r="BU96" s="373">
        <v>0</v>
      </c>
      <c r="BV96" s="373">
        <v>0</v>
      </c>
      <c r="BW96" s="373">
        <v>0</v>
      </c>
      <c r="BX96" s="373">
        <v>0</v>
      </c>
      <c r="BY96" s="373">
        <v>0</v>
      </c>
      <c r="BZ96" s="373">
        <v>0</v>
      </c>
      <c r="CA96" s="373">
        <v>0</v>
      </c>
      <c r="CB96" s="373">
        <v>0</v>
      </c>
      <c r="CC96" s="373">
        <v>0</v>
      </c>
      <c r="CD96" s="373">
        <v>0</v>
      </c>
      <c r="CE96" s="373">
        <v>0</v>
      </c>
      <c r="CF96" s="373">
        <v>0</v>
      </c>
      <c r="CG96" s="373">
        <v>0</v>
      </c>
      <c r="CH96" s="373">
        <v>0</v>
      </c>
      <c r="CI96" s="373">
        <v>0</v>
      </c>
      <c r="CJ96" s="373">
        <v>0</v>
      </c>
      <c r="CK96" s="373">
        <v>0</v>
      </c>
      <c r="CL96" s="373">
        <v>0</v>
      </c>
      <c r="CM96" s="373">
        <v>0</v>
      </c>
      <c r="CN96" s="373">
        <v>0</v>
      </c>
      <c r="CO96" s="373">
        <v>0</v>
      </c>
      <c r="CP96" s="373">
        <v>0</v>
      </c>
      <c r="CQ96" s="373">
        <v>0</v>
      </c>
      <c r="CR96" s="373">
        <v>0</v>
      </c>
      <c r="CS96" s="365">
        <v>0</v>
      </c>
      <c r="CT96" s="373">
        <v>0</v>
      </c>
      <c r="CU96" s="373">
        <v>0</v>
      </c>
      <c r="CV96" s="373">
        <v>0</v>
      </c>
      <c r="CW96" s="373">
        <v>0</v>
      </c>
      <c r="CX96" s="373">
        <v>0</v>
      </c>
      <c r="CY96" s="373">
        <v>0</v>
      </c>
      <c r="CZ96" s="373">
        <v>0</v>
      </c>
      <c r="DA96" s="373">
        <v>0</v>
      </c>
      <c r="DB96" s="373">
        <v>0</v>
      </c>
      <c r="DC96" s="373">
        <v>0</v>
      </c>
      <c r="DD96" s="373">
        <v>0</v>
      </c>
      <c r="DE96" s="373">
        <v>0</v>
      </c>
      <c r="DF96" s="373">
        <v>0</v>
      </c>
      <c r="DG96" s="373">
        <v>0</v>
      </c>
      <c r="DH96" s="373">
        <v>0</v>
      </c>
      <c r="DI96" s="373">
        <v>0</v>
      </c>
      <c r="DJ96" s="373">
        <v>0</v>
      </c>
      <c r="DK96" s="373">
        <v>0</v>
      </c>
      <c r="DL96" s="373">
        <v>0</v>
      </c>
      <c r="DM96" s="373">
        <v>0</v>
      </c>
      <c r="DN96" s="373">
        <v>0</v>
      </c>
      <c r="DO96" s="373">
        <v>0</v>
      </c>
      <c r="DP96" s="373">
        <v>0</v>
      </c>
      <c r="DQ96" s="373">
        <v>0</v>
      </c>
      <c r="DR96" s="373">
        <v>0</v>
      </c>
      <c r="DS96" s="365">
        <v>0</v>
      </c>
      <c r="DT96" s="374">
        <f t="shared" si="64"/>
        <v>66056.45</v>
      </c>
      <c r="DU96" s="375">
        <f t="shared" si="65"/>
        <v>0</v>
      </c>
      <c r="DV96" s="376"/>
      <c r="DW96" s="138" t="b">
        <f t="shared" si="66"/>
        <v>1</v>
      </c>
    </row>
    <row r="97" spans="1:127" s="138" customFormat="1" ht="12" customHeight="1">
      <c r="A97" s="169" t="s">
        <v>457</v>
      </c>
      <c r="B97" s="170"/>
      <c r="C97" s="171" t="s">
        <v>282</v>
      </c>
      <c r="D97" s="171"/>
      <c r="E97" s="365">
        <f t="shared" si="53"/>
        <v>64.61</v>
      </c>
      <c r="F97" s="365">
        <f t="shared" si="54"/>
        <v>0</v>
      </c>
      <c r="G97" s="365">
        <f t="shared" si="52"/>
        <v>64.61</v>
      </c>
      <c r="H97" s="365">
        <f t="shared" si="55"/>
        <v>0</v>
      </c>
      <c r="I97" s="365">
        <f t="shared" si="67"/>
        <v>149.1</v>
      </c>
      <c r="J97" s="366">
        <f t="shared" si="57"/>
        <v>0</v>
      </c>
      <c r="K97" s="378" t="s">
        <v>458</v>
      </c>
      <c r="L97" s="378" t="s">
        <v>329</v>
      </c>
      <c r="M97" s="365">
        <v>5000</v>
      </c>
      <c r="N97" s="379">
        <f t="shared" si="56"/>
        <v>945</v>
      </c>
      <c r="O97" s="385">
        <f t="shared" si="58"/>
        <v>66056.45</v>
      </c>
      <c r="P97" s="370">
        <f t="shared" si="59"/>
        <v>1022.3874013310633</v>
      </c>
      <c r="Q97" s="172">
        <v>0.01</v>
      </c>
      <c r="R97" s="371">
        <f t="shared" si="60"/>
        <v>660.56449999999995</v>
      </c>
      <c r="S97" s="172">
        <v>0.04</v>
      </c>
      <c r="T97" s="371">
        <f t="shared" si="61"/>
        <v>2642.2579999999998</v>
      </c>
      <c r="U97" s="372">
        <f t="shared" si="62"/>
        <v>3</v>
      </c>
      <c r="V97" s="172">
        <v>0.95</v>
      </c>
      <c r="W97" s="371">
        <f t="shared" si="63"/>
        <v>62753.627499999995</v>
      </c>
      <c r="X97" s="373"/>
      <c r="Y97" s="373"/>
      <c r="Z97" s="373"/>
      <c r="AA97" s="373"/>
      <c r="AB97" s="373"/>
      <c r="AC97" s="373"/>
      <c r="AD97" s="373"/>
      <c r="AE97" s="373"/>
      <c r="AF97" s="373"/>
      <c r="AG97" s="373">
        <f>+$R97</f>
        <v>660.56449999999995</v>
      </c>
      <c r="AH97" s="373">
        <f>+$T97/3</f>
        <v>880.75266666666664</v>
      </c>
      <c r="AI97" s="373">
        <f>+$T97/3</f>
        <v>880.75266666666664</v>
      </c>
      <c r="AJ97" s="373">
        <f>+$T97/3</f>
        <v>880.75266666666664</v>
      </c>
      <c r="AK97" s="373">
        <f>+$W97</f>
        <v>62753.627499999995</v>
      </c>
      <c r="AL97" s="373">
        <v>0</v>
      </c>
      <c r="AM97" s="373">
        <v>0</v>
      </c>
      <c r="AN97" s="373">
        <v>0</v>
      </c>
      <c r="AO97" s="373">
        <v>0</v>
      </c>
      <c r="AP97" s="373">
        <v>0</v>
      </c>
      <c r="AQ97" s="373">
        <v>0</v>
      </c>
      <c r="AR97" s="373">
        <v>0</v>
      </c>
      <c r="AS97" s="373">
        <v>0</v>
      </c>
      <c r="AT97" s="373">
        <v>0</v>
      </c>
      <c r="AU97" s="373">
        <v>0</v>
      </c>
      <c r="AV97" s="373">
        <v>0</v>
      </c>
      <c r="AW97" s="373">
        <v>0</v>
      </c>
      <c r="AX97" s="373">
        <v>0</v>
      </c>
      <c r="AY97" s="373">
        <v>0</v>
      </c>
      <c r="AZ97" s="373">
        <v>0</v>
      </c>
      <c r="BA97" s="373">
        <v>0</v>
      </c>
      <c r="BB97" s="373">
        <v>0</v>
      </c>
      <c r="BC97" s="373">
        <v>0</v>
      </c>
      <c r="BD97" s="373">
        <v>0</v>
      </c>
      <c r="BE97" s="373">
        <v>0</v>
      </c>
      <c r="BF97" s="373">
        <v>0</v>
      </c>
      <c r="BG97" s="373">
        <v>0</v>
      </c>
      <c r="BH97" s="373">
        <v>0</v>
      </c>
      <c r="BI97" s="373">
        <v>0</v>
      </c>
      <c r="BJ97" s="373">
        <v>0</v>
      </c>
      <c r="BK97" s="373">
        <v>0</v>
      </c>
      <c r="BL97" s="373">
        <v>0</v>
      </c>
      <c r="BM97" s="373">
        <v>0</v>
      </c>
      <c r="BN97" s="373">
        <v>0</v>
      </c>
      <c r="BO97" s="373">
        <v>0</v>
      </c>
      <c r="BP97" s="373">
        <v>0</v>
      </c>
      <c r="BQ97" s="373">
        <v>0</v>
      </c>
      <c r="BR97" s="373">
        <v>0</v>
      </c>
      <c r="BS97" s="373">
        <v>0</v>
      </c>
      <c r="BT97" s="373">
        <v>0</v>
      </c>
      <c r="BU97" s="373">
        <v>0</v>
      </c>
      <c r="BV97" s="373">
        <v>0</v>
      </c>
      <c r="BW97" s="373">
        <v>0</v>
      </c>
      <c r="BX97" s="373">
        <v>0</v>
      </c>
      <c r="BY97" s="373">
        <v>0</v>
      </c>
      <c r="BZ97" s="373">
        <v>0</v>
      </c>
      <c r="CA97" s="373">
        <v>0</v>
      </c>
      <c r="CB97" s="373">
        <v>0</v>
      </c>
      <c r="CC97" s="373">
        <v>0</v>
      </c>
      <c r="CD97" s="373">
        <v>0</v>
      </c>
      <c r="CE97" s="373">
        <v>0</v>
      </c>
      <c r="CF97" s="373">
        <v>0</v>
      </c>
      <c r="CG97" s="373">
        <v>0</v>
      </c>
      <c r="CH97" s="373">
        <v>0</v>
      </c>
      <c r="CI97" s="373">
        <v>0</v>
      </c>
      <c r="CJ97" s="373">
        <v>0</v>
      </c>
      <c r="CK97" s="373">
        <v>0</v>
      </c>
      <c r="CL97" s="373">
        <v>0</v>
      </c>
      <c r="CM97" s="373">
        <v>0</v>
      </c>
      <c r="CN97" s="373">
        <v>0</v>
      </c>
      <c r="CO97" s="373">
        <v>0</v>
      </c>
      <c r="CP97" s="373">
        <v>0</v>
      </c>
      <c r="CQ97" s="373">
        <v>0</v>
      </c>
      <c r="CR97" s="373">
        <v>0</v>
      </c>
      <c r="CS97" s="365">
        <v>0</v>
      </c>
      <c r="CT97" s="373">
        <v>0</v>
      </c>
      <c r="CU97" s="373">
        <v>0</v>
      </c>
      <c r="CV97" s="373">
        <v>0</v>
      </c>
      <c r="CW97" s="373">
        <v>0</v>
      </c>
      <c r="CX97" s="373">
        <v>0</v>
      </c>
      <c r="CY97" s="373">
        <v>0</v>
      </c>
      <c r="CZ97" s="373">
        <v>0</v>
      </c>
      <c r="DA97" s="373">
        <v>0</v>
      </c>
      <c r="DB97" s="373">
        <v>0</v>
      </c>
      <c r="DC97" s="373">
        <v>0</v>
      </c>
      <c r="DD97" s="373">
        <v>0</v>
      </c>
      <c r="DE97" s="373">
        <v>0</v>
      </c>
      <c r="DF97" s="373">
        <v>0</v>
      </c>
      <c r="DG97" s="373">
        <v>0</v>
      </c>
      <c r="DH97" s="373">
        <v>0</v>
      </c>
      <c r="DI97" s="373">
        <v>0</v>
      </c>
      <c r="DJ97" s="373">
        <v>0</v>
      </c>
      <c r="DK97" s="373">
        <v>0</v>
      </c>
      <c r="DL97" s="373">
        <v>0</v>
      </c>
      <c r="DM97" s="373">
        <v>0</v>
      </c>
      <c r="DN97" s="373">
        <v>0</v>
      </c>
      <c r="DO97" s="373">
        <v>0</v>
      </c>
      <c r="DP97" s="373">
        <v>0</v>
      </c>
      <c r="DQ97" s="373">
        <v>0</v>
      </c>
      <c r="DR97" s="373">
        <v>0</v>
      </c>
      <c r="DS97" s="365">
        <v>0</v>
      </c>
      <c r="DT97" s="374">
        <f t="shared" si="64"/>
        <v>66056.45</v>
      </c>
      <c r="DU97" s="375">
        <f t="shared" si="65"/>
        <v>0</v>
      </c>
      <c r="DV97" s="376"/>
      <c r="DW97" s="138" t="b">
        <f t="shared" si="66"/>
        <v>1</v>
      </c>
    </row>
    <row r="98" spans="1:127" s="138" customFormat="1" ht="12" customHeight="1">
      <c r="A98" s="169" t="s">
        <v>459</v>
      </c>
      <c r="B98" s="170"/>
      <c r="C98" s="171" t="s">
        <v>282</v>
      </c>
      <c r="D98" s="171"/>
      <c r="E98" s="365">
        <f t="shared" si="53"/>
        <v>64.61</v>
      </c>
      <c r="F98" s="365">
        <f t="shared" si="54"/>
        <v>0</v>
      </c>
      <c r="G98" s="365">
        <f t="shared" si="52"/>
        <v>64.61</v>
      </c>
      <c r="H98" s="365">
        <f t="shared" si="55"/>
        <v>0</v>
      </c>
      <c r="I98" s="365">
        <f t="shared" si="67"/>
        <v>149.1</v>
      </c>
      <c r="J98" s="366">
        <f t="shared" si="57"/>
        <v>0</v>
      </c>
      <c r="K98" s="378" t="s">
        <v>460</v>
      </c>
      <c r="L98" s="378" t="s">
        <v>329</v>
      </c>
      <c r="M98" s="365">
        <v>5000</v>
      </c>
      <c r="N98" s="379">
        <f t="shared" si="56"/>
        <v>945</v>
      </c>
      <c r="O98" s="385">
        <f t="shared" si="58"/>
        <v>66056.45</v>
      </c>
      <c r="P98" s="370">
        <f t="shared" si="59"/>
        <v>1022.3874013310633</v>
      </c>
      <c r="Q98" s="172">
        <v>0.01</v>
      </c>
      <c r="R98" s="371">
        <f t="shared" si="60"/>
        <v>660.56449999999995</v>
      </c>
      <c r="S98" s="172">
        <v>0.04</v>
      </c>
      <c r="T98" s="371">
        <f t="shared" si="61"/>
        <v>2642.2579999999998</v>
      </c>
      <c r="U98" s="372">
        <f t="shared" si="62"/>
        <v>1</v>
      </c>
      <c r="V98" s="172">
        <v>0.95</v>
      </c>
      <c r="W98" s="371">
        <f t="shared" si="63"/>
        <v>62753.627499999995</v>
      </c>
      <c r="X98" s="373"/>
      <c r="Y98" s="373"/>
      <c r="Z98" s="373"/>
      <c r="AA98" s="373"/>
      <c r="AB98" s="373"/>
      <c r="AC98" s="373"/>
      <c r="AD98" s="373"/>
      <c r="AE98" s="373"/>
      <c r="AF98" s="373"/>
      <c r="AG98" s="373">
        <f>+$R98</f>
        <v>660.56449999999995</v>
      </c>
      <c r="AH98" s="373">
        <f>+$T98/1</f>
        <v>2642.2579999999998</v>
      </c>
      <c r="AI98" s="373">
        <f>+$W98</f>
        <v>62753.627499999995</v>
      </c>
      <c r="AJ98" s="373">
        <v>0</v>
      </c>
      <c r="AK98" s="373">
        <v>0</v>
      </c>
      <c r="AL98" s="373">
        <v>0</v>
      </c>
      <c r="AM98" s="373">
        <v>0</v>
      </c>
      <c r="AN98" s="373">
        <v>0</v>
      </c>
      <c r="AO98" s="373">
        <v>0</v>
      </c>
      <c r="AP98" s="373">
        <v>0</v>
      </c>
      <c r="AQ98" s="373">
        <v>0</v>
      </c>
      <c r="AR98" s="373">
        <v>0</v>
      </c>
      <c r="AS98" s="373">
        <v>0</v>
      </c>
      <c r="AT98" s="373">
        <v>0</v>
      </c>
      <c r="AU98" s="373">
        <v>0</v>
      </c>
      <c r="AV98" s="373">
        <v>0</v>
      </c>
      <c r="AW98" s="373">
        <v>0</v>
      </c>
      <c r="AX98" s="373">
        <v>0</v>
      </c>
      <c r="AY98" s="373">
        <v>0</v>
      </c>
      <c r="AZ98" s="373">
        <v>0</v>
      </c>
      <c r="BA98" s="373">
        <v>0</v>
      </c>
      <c r="BB98" s="373">
        <v>0</v>
      </c>
      <c r="BC98" s="373">
        <v>0</v>
      </c>
      <c r="BD98" s="373">
        <v>0</v>
      </c>
      <c r="BE98" s="373">
        <v>0</v>
      </c>
      <c r="BF98" s="373">
        <v>0</v>
      </c>
      <c r="BG98" s="373">
        <v>0</v>
      </c>
      <c r="BH98" s="373">
        <v>0</v>
      </c>
      <c r="BI98" s="373">
        <v>0</v>
      </c>
      <c r="BJ98" s="373">
        <v>0</v>
      </c>
      <c r="BK98" s="373">
        <v>0</v>
      </c>
      <c r="BL98" s="373">
        <v>0</v>
      </c>
      <c r="BM98" s="373">
        <v>0</v>
      </c>
      <c r="BN98" s="373">
        <v>0</v>
      </c>
      <c r="BO98" s="373">
        <v>0</v>
      </c>
      <c r="BP98" s="373">
        <v>0</v>
      </c>
      <c r="BQ98" s="373">
        <v>0</v>
      </c>
      <c r="BR98" s="373">
        <v>0</v>
      </c>
      <c r="BS98" s="373">
        <v>0</v>
      </c>
      <c r="BT98" s="373">
        <v>0</v>
      </c>
      <c r="BU98" s="373">
        <v>0</v>
      </c>
      <c r="BV98" s="373">
        <v>0</v>
      </c>
      <c r="BW98" s="373">
        <v>0</v>
      </c>
      <c r="BX98" s="373">
        <v>0</v>
      </c>
      <c r="BY98" s="373">
        <v>0</v>
      </c>
      <c r="BZ98" s="373">
        <v>0</v>
      </c>
      <c r="CA98" s="373">
        <v>0</v>
      </c>
      <c r="CB98" s="373">
        <v>0</v>
      </c>
      <c r="CC98" s="373">
        <v>0</v>
      </c>
      <c r="CD98" s="373">
        <v>0</v>
      </c>
      <c r="CE98" s="373">
        <v>0</v>
      </c>
      <c r="CF98" s="373">
        <v>0</v>
      </c>
      <c r="CG98" s="373">
        <v>0</v>
      </c>
      <c r="CH98" s="373">
        <v>0</v>
      </c>
      <c r="CI98" s="373">
        <v>0</v>
      </c>
      <c r="CJ98" s="373">
        <v>0</v>
      </c>
      <c r="CK98" s="373">
        <v>0</v>
      </c>
      <c r="CL98" s="373">
        <v>0</v>
      </c>
      <c r="CM98" s="373">
        <v>0</v>
      </c>
      <c r="CN98" s="373">
        <v>0</v>
      </c>
      <c r="CO98" s="373">
        <v>0</v>
      </c>
      <c r="CP98" s="373">
        <v>0</v>
      </c>
      <c r="CQ98" s="373">
        <v>0</v>
      </c>
      <c r="CR98" s="373">
        <v>0</v>
      </c>
      <c r="CS98" s="365">
        <v>0</v>
      </c>
      <c r="CT98" s="373">
        <v>0</v>
      </c>
      <c r="CU98" s="373">
        <v>0</v>
      </c>
      <c r="CV98" s="373">
        <v>0</v>
      </c>
      <c r="CW98" s="373">
        <v>0</v>
      </c>
      <c r="CX98" s="373">
        <v>0</v>
      </c>
      <c r="CY98" s="373">
        <v>0</v>
      </c>
      <c r="CZ98" s="373">
        <v>0</v>
      </c>
      <c r="DA98" s="373">
        <v>0</v>
      </c>
      <c r="DB98" s="373">
        <v>0</v>
      </c>
      <c r="DC98" s="373">
        <v>0</v>
      </c>
      <c r="DD98" s="373">
        <v>0</v>
      </c>
      <c r="DE98" s="373">
        <v>0</v>
      </c>
      <c r="DF98" s="373">
        <v>0</v>
      </c>
      <c r="DG98" s="373">
        <v>0</v>
      </c>
      <c r="DH98" s="373">
        <v>0</v>
      </c>
      <c r="DI98" s="373">
        <v>0</v>
      </c>
      <c r="DJ98" s="373">
        <v>0</v>
      </c>
      <c r="DK98" s="373">
        <v>0</v>
      </c>
      <c r="DL98" s="373">
        <v>0</v>
      </c>
      <c r="DM98" s="373">
        <v>0</v>
      </c>
      <c r="DN98" s="373">
        <v>0</v>
      </c>
      <c r="DO98" s="373">
        <v>0</v>
      </c>
      <c r="DP98" s="373">
        <v>0</v>
      </c>
      <c r="DQ98" s="373">
        <v>0</v>
      </c>
      <c r="DR98" s="373">
        <v>0</v>
      </c>
      <c r="DS98" s="365">
        <v>0</v>
      </c>
      <c r="DT98" s="374">
        <f t="shared" si="64"/>
        <v>66056.45</v>
      </c>
      <c r="DU98" s="375">
        <f t="shared" si="65"/>
        <v>0</v>
      </c>
      <c r="DV98" s="376"/>
      <c r="DW98" s="138" t="b">
        <f t="shared" si="66"/>
        <v>1</v>
      </c>
    </row>
    <row r="99" spans="1:127" s="138" customFormat="1" ht="12" customHeight="1">
      <c r="A99" s="169" t="s">
        <v>461</v>
      </c>
      <c r="B99" s="170"/>
      <c r="C99" s="171" t="s">
        <v>282</v>
      </c>
      <c r="D99" s="171"/>
      <c r="E99" s="365">
        <f t="shared" si="53"/>
        <v>64.61</v>
      </c>
      <c r="F99" s="365">
        <f t="shared" si="54"/>
        <v>0</v>
      </c>
      <c r="G99" s="365">
        <f t="shared" si="52"/>
        <v>64.61</v>
      </c>
      <c r="H99" s="365">
        <f t="shared" si="55"/>
        <v>0</v>
      </c>
      <c r="I99" s="365">
        <f t="shared" si="67"/>
        <v>149.1</v>
      </c>
      <c r="J99" s="366">
        <f t="shared" si="57"/>
        <v>0</v>
      </c>
      <c r="K99" s="378"/>
      <c r="L99" s="378"/>
      <c r="M99" s="365"/>
      <c r="N99" s="379">
        <f t="shared" si="56"/>
        <v>945</v>
      </c>
      <c r="O99" s="382">
        <f t="shared" si="58"/>
        <v>61056.45</v>
      </c>
      <c r="P99" s="370">
        <f t="shared" si="59"/>
        <v>945</v>
      </c>
      <c r="Q99" s="172">
        <v>0.01</v>
      </c>
      <c r="R99" s="371">
        <f t="shared" si="60"/>
        <v>610.56449999999995</v>
      </c>
      <c r="S99" s="172">
        <v>0.04</v>
      </c>
      <c r="T99" s="371">
        <f t="shared" si="61"/>
        <v>2442.2579999999998</v>
      </c>
      <c r="U99" s="372">
        <f t="shared" si="62"/>
        <v>5</v>
      </c>
      <c r="V99" s="172">
        <v>0.95</v>
      </c>
      <c r="W99" s="371">
        <f t="shared" si="63"/>
        <v>58003.627499999995</v>
      </c>
      <c r="X99" s="373"/>
      <c r="Y99" s="373"/>
      <c r="Z99" s="373"/>
      <c r="AA99" s="373"/>
      <c r="AB99" s="373"/>
      <c r="AC99" s="373"/>
      <c r="AD99" s="373"/>
      <c r="AE99" s="373"/>
      <c r="AF99" s="373"/>
      <c r="AG99" s="373"/>
      <c r="AH99" s="373">
        <f>+$R99</f>
        <v>610.56449999999995</v>
      </c>
      <c r="AI99" s="373">
        <f>+$T99/5</f>
        <v>488.45159999999998</v>
      </c>
      <c r="AJ99" s="373">
        <f>+$T99/5</f>
        <v>488.45159999999998</v>
      </c>
      <c r="AK99" s="373">
        <f>+$T99/5</f>
        <v>488.45159999999998</v>
      </c>
      <c r="AL99" s="373">
        <f>+$T99/5</f>
        <v>488.45159999999998</v>
      </c>
      <c r="AM99" s="373">
        <f>+$T99/5</f>
        <v>488.45159999999998</v>
      </c>
      <c r="AN99" s="373">
        <f>+$W99</f>
        <v>58003.627499999995</v>
      </c>
      <c r="AO99" s="373">
        <v>0</v>
      </c>
      <c r="AP99" s="373">
        <v>0</v>
      </c>
      <c r="AQ99" s="373">
        <v>0</v>
      </c>
      <c r="AR99" s="373">
        <v>0</v>
      </c>
      <c r="AS99" s="373">
        <v>0</v>
      </c>
      <c r="AT99" s="373">
        <v>0</v>
      </c>
      <c r="AU99" s="373">
        <v>0</v>
      </c>
      <c r="AV99" s="373">
        <v>0</v>
      </c>
      <c r="AW99" s="373">
        <v>0</v>
      </c>
      <c r="AX99" s="373">
        <v>0</v>
      </c>
      <c r="AY99" s="373">
        <v>0</v>
      </c>
      <c r="AZ99" s="373">
        <v>0</v>
      </c>
      <c r="BA99" s="373">
        <v>0</v>
      </c>
      <c r="BB99" s="373">
        <v>0</v>
      </c>
      <c r="BC99" s="373">
        <v>0</v>
      </c>
      <c r="BD99" s="373">
        <v>0</v>
      </c>
      <c r="BE99" s="373">
        <v>0</v>
      </c>
      <c r="BF99" s="373">
        <v>0</v>
      </c>
      <c r="BG99" s="373">
        <v>0</v>
      </c>
      <c r="BH99" s="373">
        <v>0</v>
      </c>
      <c r="BI99" s="373">
        <v>0</v>
      </c>
      <c r="BJ99" s="373">
        <v>0</v>
      </c>
      <c r="BK99" s="373">
        <v>0</v>
      </c>
      <c r="BL99" s="373">
        <v>0</v>
      </c>
      <c r="BM99" s="373">
        <v>0</v>
      </c>
      <c r="BN99" s="373">
        <v>0</v>
      </c>
      <c r="BO99" s="373">
        <v>0</v>
      </c>
      <c r="BP99" s="373">
        <v>0</v>
      </c>
      <c r="BQ99" s="373">
        <v>0</v>
      </c>
      <c r="BR99" s="373">
        <v>0</v>
      </c>
      <c r="BS99" s="373">
        <v>0</v>
      </c>
      <c r="BT99" s="373">
        <v>0</v>
      </c>
      <c r="BU99" s="373">
        <v>0</v>
      </c>
      <c r="BV99" s="373">
        <v>0</v>
      </c>
      <c r="BW99" s="373">
        <v>0</v>
      </c>
      <c r="BX99" s="373">
        <v>0</v>
      </c>
      <c r="BY99" s="373">
        <v>0</v>
      </c>
      <c r="BZ99" s="373">
        <v>0</v>
      </c>
      <c r="CA99" s="373">
        <v>0</v>
      </c>
      <c r="CB99" s="373">
        <v>0</v>
      </c>
      <c r="CC99" s="373">
        <v>0</v>
      </c>
      <c r="CD99" s="373">
        <v>0</v>
      </c>
      <c r="CE99" s="373">
        <v>0</v>
      </c>
      <c r="CF99" s="373">
        <v>0</v>
      </c>
      <c r="CG99" s="373">
        <v>0</v>
      </c>
      <c r="CH99" s="373">
        <v>0</v>
      </c>
      <c r="CI99" s="373">
        <v>0</v>
      </c>
      <c r="CJ99" s="373">
        <v>0</v>
      </c>
      <c r="CK99" s="373">
        <v>0</v>
      </c>
      <c r="CL99" s="373">
        <v>0</v>
      </c>
      <c r="CM99" s="373">
        <v>0</v>
      </c>
      <c r="CN99" s="373">
        <v>0</v>
      </c>
      <c r="CO99" s="373">
        <v>0</v>
      </c>
      <c r="CP99" s="373">
        <v>0</v>
      </c>
      <c r="CQ99" s="373">
        <v>0</v>
      </c>
      <c r="CR99" s="373">
        <v>0</v>
      </c>
      <c r="CS99" s="365">
        <v>0</v>
      </c>
      <c r="CT99" s="373">
        <v>0</v>
      </c>
      <c r="CU99" s="373">
        <v>0</v>
      </c>
      <c r="CV99" s="373">
        <v>0</v>
      </c>
      <c r="CW99" s="373">
        <v>0</v>
      </c>
      <c r="CX99" s="373">
        <v>0</v>
      </c>
      <c r="CY99" s="373">
        <v>0</v>
      </c>
      <c r="CZ99" s="373">
        <v>0</v>
      </c>
      <c r="DA99" s="373">
        <v>0</v>
      </c>
      <c r="DB99" s="373">
        <v>0</v>
      </c>
      <c r="DC99" s="373">
        <v>0</v>
      </c>
      <c r="DD99" s="373">
        <v>0</v>
      </c>
      <c r="DE99" s="373">
        <v>0</v>
      </c>
      <c r="DF99" s="373">
        <v>0</v>
      </c>
      <c r="DG99" s="373">
        <v>0</v>
      </c>
      <c r="DH99" s="373">
        <v>0</v>
      </c>
      <c r="DI99" s="373">
        <v>0</v>
      </c>
      <c r="DJ99" s="373">
        <v>0</v>
      </c>
      <c r="DK99" s="373">
        <v>0</v>
      </c>
      <c r="DL99" s="373">
        <v>0</v>
      </c>
      <c r="DM99" s="373">
        <v>0</v>
      </c>
      <c r="DN99" s="373">
        <v>0</v>
      </c>
      <c r="DO99" s="373">
        <v>0</v>
      </c>
      <c r="DP99" s="373">
        <v>0</v>
      </c>
      <c r="DQ99" s="373">
        <v>0</v>
      </c>
      <c r="DR99" s="373">
        <v>0</v>
      </c>
      <c r="DS99" s="365">
        <v>0</v>
      </c>
      <c r="DT99" s="374">
        <f t="shared" si="64"/>
        <v>61056.45</v>
      </c>
      <c r="DU99" s="375">
        <f t="shared" si="65"/>
        <v>0</v>
      </c>
      <c r="DV99" s="376"/>
      <c r="DW99" s="138" t="b">
        <f t="shared" si="66"/>
        <v>1</v>
      </c>
    </row>
    <row r="100" spans="1:127" s="138" customFormat="1" ht="12" customHeight="1">
      <c r="A100" s="169" t="s">
        <v>462</v>
      </c>
      <c r="B100" s="170"/>
      <c r="C100" s="171" t="s">
        <v>282</v>
      </c>
      <c r="D100" s="171"/>
      <c r="E100" s="365">
        <f t="shared" si="53"/>
        <v>64.61</v>
      </c>
      <c r="F100" s="365">
        <f t="shared" si="54"/>
        <v>0</v>
      </c>
      <c r="G100" s="365">
        <f t="shared" si="52"/>
        <v>64.61</v>
      </c>
      <c r="H100" s="365">
        <f t="shared" si="55"/>
        <v>0</v>
      </c>
      <c r="I100" s="365">
        <f t="shared" si="67"/>
        <v>149.1</v>
      </c>
      <c r="J100" s="366">
        <f t="shared" si="57"/>
        <v>0</v>
      </c>
      <c r="K100" s="378"/>
      <c r="L100" s="378"/>
      <c r="M100" s="365"/>
      <c r="N100" s="379">
        <f t="shared" si="56"/>
        <v>945</v>
      </c>
      <c r="O100" s="382">
        <f t="shared" si="58"/>
        <v>61056.45</v>
      </c>
      <c r="P100" s="370">
        <f t="shared" si="59"/>
        <v>945</v>
      </c>
      <c r="Q100" s="172">
        <v>0.01</v>
      </c>
      <c r="R100" s="371">
        <f t="shared" si="60"/>
        <v>610.56449999999995</v>
      </c>
      <c r="S100" s="172">
        <v>0.04</v>
      </c>
      <c r="T100" s="371">
        <f t="shared" si="61"/>
        <v>2442.2579999999998</v>
      </c>
      <c r="U100" s="372">
        <f t="shared" si="62"/>
        <v>3</v>
      </c>
      <c r="V100" s="172">
        <v>0.95</v>
      </c>
      <c r="W100" s="371">
        <f t="shared" si="63"/>
        <v>58003.627499999995</v>
      </c>
      <c r="X100" s="373"/>
      <c r="Y100" s="373"/>
      <c r="Z100" s="373"/>
      <c r="AA100" s="373"/>
      <c r="AB100" s="373"/>
      <c r="AC100" s="373"/>
      <c r="AD100" s="373"/>
      <c r="AE100" s="373"/>
      <c r="AF100" s="373"/>
      <c r="AG100" s="373"/>
      <c r="AH100" s="373">
        <f>+$R100</f>
        <v>610.56449999999995</v>
      </c>
      <c r="AI100" s="373">
        <f>+$T100/3</f>
        <v>814.0859999999999</v>
      </c>
      <c r="AJ100" s="373">
        <f>+$T100/3</f>
        <v>814.0859999999999</v>
      </c>
      <c r="AK100" s="373">
        <f>+$T100/3</f>
        <v>814.0859999999999</v>
      </c>
      <c r="AL100" s="373">
        <f>+$W100</f>
        <v>58003.627499999995</v>
      </c>
      <c r="AM100" s="373">
        <v>0</v>
      </c>
      <c r="AN100" s="373">
        <v>0</v>
      </c>
      <c r="AO100" s="373">
        <v>0</v>
      </c>
      <c r="AP100" s="373">
        <v>0</v>
      </c>
      <c r="AQ100" s="373">
        <v>0</v>
      </c>
      <c r="AR100" s="373">
        <v>0</v>
      </c>
      <c r="AS100" s="373">
        <v>0</v>
      </c>
      <c r="AT100" s="373">
        <v>0</v>
      </c>
      <c r="AU100" s="373">
        <v>0</v>
      </c>
      <c r="AV100" s="373">
        <v>0</v>
      </c>
      <c r="AW100" s="373">
        <v>0</v>
      </c>
      <c r="AX100" s="373">
        <v>0</v>
      </c>
      <c r="AY100" s="373">
        <v>0</v>
      </c>
      <c r="AZ100" s="373">
        <v>0</v>
      </c>
      <c r="BA100" s="373">
        <v>0</v>
      </c>
      <c r="BB100" s="373">
        <v>0</v>
      </c>
      <c r="BC100" s="373">
        <v>0</v>
      </c>
      <c r="BD100" s="373">
        <v>0</v>
      </c>
      <c r="BE100" s="373">
        <v>0</v>
      </c>
      <c r="BF100" s="373">
        <v>0</v>
      </c>
      <c r="BG100" s="373">
        <v>0</v>
      </c>
      <c r="BH100" s="373">
        <v>0</v>
      </c>
      <c r="BI100" s="373">
        <v>0</v>
      </c>
      <c r="BJ100" s="373">
        <v>0</v>
      </c>
      <c r="BK100" s="373">
        <v>0</v>
      </c>
      <c r="BL100" s="373">
        <v>0</v>
      </c>
      <c r="BM100" s="373">
        <v>0</v>
      </c>
      <c r="BN100" s="373">
        <v>0</v>
      </c>
      <c r="BO100" s="373">
        <v>0</v>
      </c>
      <c r="BP100" s="373">
        <v>0</v>
      </c>
      <c r="BQ100" s="373">
        <v>0</v>
      </c>
      <c r="BR100" s="373">
        <v>0</v>
      </c>
      <c r="BS100" s="373">
        <v>0</v>
      </c>
      <c r="BT100" s="373">
        <v>0</v>
      </c>
      <c r="BU100" s="373">
        <v>0</v>
      </c>
      <c r="BV100" s="373">
        <v>0</v>
      </c>
      <c r="BW100" s="373">
        <v>0</v>
      </c>
      <c r="BX100" s="373">
        <v>0</v>
      </c>
      <c r="BY100" s="373">
        <v>0</v>
      </c>
      <c r="BZ100" s="373">
        <v>0</v>
      </c>
      <c r="CA100" s="373">
        <v>0</v>
      </c>
      <c r="CB100" s="373">
        <v>0</v>
      </c>
      <c r="CC100" s="373">
        <v>0</v>
      </c>
      <c r="CD100" s="373">
        <v>0</v>
      </c>
      <c r="CE100" s="373">
        <v>0</v>
      </c>
      <c r="CF100" s="373">
        <v>0</v>
      </c>
      <c r="CG100" s="373">
        <v>0</v>
      </c>
      <c r="CH100" s="373">
        <v>0</v>
      </c>
      <c r="CI100" s="373">
        <v>0</v>
      </c>
      <c r="CJ100" s="373">
        <v>0</v>
      </c>
      <c r="CK100" s="373">
        <v>0</v>
      </c>
      <c r="CL100" s="373">
        <v>0</v>
      </c>
      <c r="CM100" s="373">
        <v>0</v>
      </c>
      <c r="CN100" s="373">
        <v>0</v>
      </c>
      <c r="CO100" s="373">
        <v>0</v>
      </c>
      <c r="CP100" s="373">
        <v>0</v>
      </c>
      <c r="CQ100" s="373">
        <v>0</v>
      </c>
      <c r="CR100" s="373">
        <v>0</v>
      </c>
      <c r="CS100" s="365">
        <v>0</v>
      </c>
      <c r="CT100" s="373">
        <v>0</v>
      </c>
      <c r="CU100" s="373">
        <v>0</v>
      </c>
      <c r="CV100" s="373">
        <v>0</v>
      </c>
      <c r="CW100" s="373">
        <v>0</v>
      </c>
      <c r="CX100" s="373">
        <v>0</v>
      </c>
      <c r="CY100" s="373">
        <v>0</v>
      </c>
      <c r="CZ100" s="373">
        <v>0</v>
      </c>
      <c r="DA100" s="373">
        <v>0</v>
      </c>
      <c r="DB100" s="373">
        <v>0</v>
      </c>
      <c r="DC100" s="373">
        <v>0</v>
      </c>
      <c r="DD100" s="373">
        <v>0</v>
      </c>
      <c r="DE100" s="373">
        <v>0</v>
      </c>
      <c r="DF100" s="373">
        <v>0</v>
      </c>
      <c r="DG100" s="373">
        <v>0</v>
      </c>
      <c r="DH100" s="373">
        <v>0</v>
      </c>
      <c r="DI100" s="373">
        <v>0</v>
      </c>
      <c r="DJ100" s="373">
        <v>0</v>
      </c>
      <c r="DK100" s="373">
        <v>0</v>
      </c>
      <c r="DL100" s="373">
        <v>0</v>
      </c>
      <c r="DM100" s="373">
        <v>0</v>
      </c>
      <c r="DN100" s="373">
        <v>0</v>
      </c>
      <c r="DO100" s="373">
        <v>0</v>
      </c>
      <c r="DP100" s="373">
        <v>0</v>
      </c>
      <c r="DQ100" s="373">
        <v>0</v>
      </c>
      <c r="DR100" s="373">
        <v>0</v>
      </c>
      <c r="DS100" s="365">
        <v>0</v>
      </c>
      <c r="DT100" s="374">
        <f t="shared" si="64"/>
        <v>61056.45</v>
      </c>
      <c r="DU100" s="375">
        <f t="shared" si="65"/>
        <v>0</v>
      </c>
      <c r="DV100" s="376"/>
      <c r="DW100" s="138" t="b">
        <f t="shared" si="66"/>
        <v>1</v>
      </c>
    </row>
    <row r="101" spans="1:127" s="138" customFormat="1" ht="12" customHeight="1">
      <c r="A101" s="169" t="s">
        <v>463</v>
      </c>
      <c r="B101" s="170"/>
      <c r="C101" s="171" t="s">
        <v>282</v>
      </c>
      <c r="D101" s="171"/>
      <c r="E101" s="365">
        <f t="shared" si="53"/>
        <v>64.61</v>
      </c>
      <c r="F101" s="365">
        <f t="shared" si="54"/>
        <v>0</v>
      </c>
      <c r="G101" s="365">
        <f t="shared" si="52"/>
        <v>64.61</v>
      </c>
      <c r="H101" s="365">
        <f t="shared" si="55"/>
        <v>0</v>
      </c>
      <c r="I101" s="365">
        <f t="shared" si="67"/>
        <v>149.1</v>
      </c>
      <c r="J101" s="366">
        <f t="shared" si="57"/>
        <v>0</v>
      </c>
      <c r="K101" s="378"/>
      <c r="L101" s="378"/>
      <c r="M101" s="365"/>
      <c r="N101" s="379">
        <f t="shared" si="56"/>
        <v>945</v>
      </c>
      <c r="O101" s="382">
        <f t="shared" si="58"/>
        <v>61056.45</v>
      </c>
      <c r="P101" s="370">
        <f t="shared" si="59"/>
        <v>945</v>
      </c>
      <c r="Q101" s="172">
        <v>0.01</v>
      </c>
      <c r="R101" s="371">
        <f t="shared" si="60"/>
        <v>610.56449999999995</v>
      </c>
      <c r="S101" s="172">
        <v>0.04</v>
      </c>
      <c r="T101" s="371">
        <f t="shared" si="61"/>
        <v>2442.2579999999998</v>
      </c>
      <c r="U101" s="372">
        <f t="shared" si="62"/>
        <v>1</v>
      </c>
      <c r="V101" s="172">
        <v>0.95</v>
      </c>
      <c r="W101" s="371">
        <f t="shared" si="63"/>
        <v>58003.627499999995</v>
      </c>
      <c r="X101" s="373"/>
      <c r="Y101" s="373"/>
      <c r="Z101" s="373"/>
      <c r="AA101" s="373"/>
      <c r="AB101" s="373"/>
      <c r="AC101" s="373"/>
      <c r="AD101" s="373"/>
      <c r="AE101" s="373"/>
      <c r="AF101" s="373"/>
      <c r="AG101" s="373"/>
      <c r="AH101" s="373">
        <f>+$R101</f>
        <v>610.56449999999995</v>
      </c>
      <c r="AI101" s="373">
        <f>+$T101/1</f>
        <v>2442.2579999999998</v>
      </c>
      <c r="AJ101" s="373">
        <f>+$W101</f>
        <v>58003.627499999995</v>
      </c>
      <c r="AK101" s="373">
        <v>0</v>
      </c>
      <c r="AL101" s="373">
        <v>0</v>
      </c>
      <c r="AM101" s="373">
        <v>0</v>
      </c>
      <c r="AN101" s="373">
        <v>0</v>
      </c>
      <c r="AO101" s="373">
        <v>0</v>
      </c>
      <c r="AP101" s="373">
        <v>0</v>
      </c>
      <c r="AQ101" s="373">
        <v>0</v>
      </c>
      <c r="AR101" s="373">
        <v>0</v>
      </c>
      <c r="AS101" s="373">
        <v>0</v>
      </c>
      <c r="AT101" s="373">
        <v>0</v>
      </c>
      <c r="AU101" s="373">
        <v>0</v>
      </c>
      <c r="AV101" s="373">
        <v>0</v>
      </c>
      <c r="AW101" s="373">
        <v>0</v>
      </c>
      <c r="AX101" s="373">
        <v>0</v>
      </c>
      <c r="AY101" s="373">
        <v>0</v>
      </c>
      <c r="AZ101" s="373">
        <v>0</v>
      </c>
      <c r="BA101" s="373">
        <v>0</v>
      </c>
      <c r="BB101" s="373">
        <v>0</v>
      </c>
      <c r="BC101" s="373">
        <v>0</v>
      </c>
      <c r="BD101" s="373">
        <v>0</v>
      </c>
      <c r="BE101" s="373">
        <v>0</v>
      </c>
      <c r="BF101" s="373">
        <v>0</v>
      </c>
      <c r="BG101" s="373">
        <v>0</v>
      </c>
      <c r="BH101" s="373">
        <v>0</v>
      </c>
      <c r="BI101" s="373">
        <v>0</v>
      </c>
      <c r="BJ101" s="373">
        <v>0</v>
      </c>
      <c r="BK101" s="373">
        <v>0</v>
      </c>
      <c r="BL101" s="373">
        <v>0</v>
      </c>
      <c r="BM101" s="373">
        <v>0</v>
      </c>
      <c r="BN101" s="373">
        <v>0</v>
      </c>
      <c r="BO101" s="373">
        <v>0</v>
      </c>
      <c r="BP101" s="373">
        <v>0</v>
      </c>
      <c r="BQ101" s="373">
        <v>0</v>
      </c>
      <c r="BR101" s="373">
        <v>0</v>
      </c>
      <c r="BS101" s="373">
        <v>0</v>
      </c>
      <c r="BT101" s="373">
        <v>0</v>
      </c>
      <c r="BU101" s="373">
        <v>0</v>
      </c>
      <c r="BV101" s="373">
        <v>0</v>
      </c>
      <c r="BW101" s="373">
        <v>0</v>
      </c>
      <c r="BX101" s="373">
        <v>0</v>
      </c>
      <c r="BY101" s="373">
        <v>0</v>
      </c>
      <c r="BZ101" s="373">
        <v>0</v>
      </c>
      <c r="CA101" s="373">
        <v>0</v>
      </c>
      <c r="CB101" s="373">
        <v>0</v>
      </c>
      <c r="CC101" s="373">
        <v>0</v>
      </c>
      <c r="CD101" s="373">
        <v>0</v>
      </c>
      <c r="CE101" s="373">
        <v>0</v>
      </c>
      <c r="CF101" s="373">
        <v>0</v>
      </c>
      <c r="CG101" s="373">
        <v>0</v>
      </c>
      <c r="CH101" s="373">
        <v>0</v>
      </c>
      <c r="CI101" s="373">
        <v>0</v>
      </c>
      <c r="CJ101" s="373">
        <v>0</v>
      </c>
      <c r="CK101" s="373">
        <v>0</v>
      </c>
      <c r="CL101" s="373">
        <v>0</v>
      </c>
      <c r="CM101" s="373">
        <v>0</v>
      </c>
      <c r="CN101" s="373">
        <v>0</v>
      </c>
      <c r="CO101" s="373">
        <v>0</v>
      </c>
      <c r="CP101" s="373">
        <v>0</v>
      </c>
      <c r="CQ101" s="373">
        <v>0</v>
      </c>
      <c r="CR101" s="373">
        <v>0</v>
      </c>
      <c r="CS101" s="365">
        <v>0</v>
      </c>
      <c r="CT101" s="373">
        <v>0</v>
      </c>
      <c r="CU101" s="373">
        <v>0</v>
      </c>
      <c r="CV101" s="373">
        <v>0</v>
      </c>
      <c r="CW101" s="373">
        <v>0</v>
      </c>
      <c r="CX101" s="373">
        <v>0</v>
      </c>
      <c r="CY101" s="373">
        <v>0</v>
      </c>
      <c r="CZ101" s="373">
        <v>0</v>
      </c>
      <c r="DA101" s="373">
        <v>0</v>
      </c>
      <c r="DB101" s="373">
        <v>0</v>
      </c>
      <c r="DC101" s="373">
        <v>0</v>
      </c>
      <c r="DD101" s="373">
        <v>0</v>
      </c>
      <c r="DE101" s="373">
        <v>0</v>
      </c>
      <c r="DF101" s="373">
        <v>0</v>
      </c>
      <c r="DG101" s="373">
        <v>0</v>
      </c>
      <c r="DH101" s="373">
        <v>0</v>
      </c>
      <c r="DI101" s="373">
        <v>0</v>
      </c>
      <c r="DJ101" s="373">
        <v>0</v>
      </c>
      <c r="DK101" s="373">
        <v>0</v>
      </c>
      <c r="DL101" s="373">
        <v>0</v>
      </c>
      <c r="DM101" s="373">
        <v>0</v>
      </c>
      <c r="DN101" s="373">
        <v>0</v>
      </c>
      <c r="DO101" s="373">
        <v>0</v>
      </c>
      <c r="DP101" s="373">
        <v>0</v>
      </c>
      <c r="DQ101" s="373">
        <v>0</v>
      </c>
      <c r="DR101" s="373">
        <v>0</v>
      </c>
      <c r="DS101" s="365">
        <v>0</v>
      </c>
      <c r="DT101" s="374">
        <f t="shared" si="64"/>
        <v>61056.45</v>
      </c>
      <c r="DU101" s="375">
        <f t="shared" si="65"/>
        <v>0</v>
      </c>
      <c r="DV101" s="376"/>
      <c r="DW101" s="138" t="b">
        <f t="shared" si="66"/>
        <v>1</v>
      </c>
    </row>
    <row r="102" spans="1:127" s="138" customFormat="1" ht="12" customHeight="1">
      <c r="A102" s="169" t="s">
        <v>464</v>
      </c>
      <c r="B102" s="170"/>
      <c r="C102" s="171" t="s">
        <v>282</v>
      </c>
      <c r="D102" s="171"/>
      <c r="E102" s="365">
        <f t="shared" si="53"/>
        <v>64.61</v>
      </c>
      <c r="F102" s="365">
        <f t="shared" si="54"/>
        <v>0</v>
      </c>
      <c r="G102" s="365">
        <f t="shared" si="52"/>
        <v>64.61</v>
      </c>
      <c r="H102" s="365">
        <f t="shared" si="55"/>
        <v>0</v>
      </c>
      <c r="I102" s="365">
        <f t="shared" si="67"/>
        <v>149.1</v>
      </c>
      <c r="J102" s="366">
        <f t="shared" si="57"/>
        <v>0</v>
      </c>
      <c r="K102" s="378"/>
      <c r="L102" s="378"/>
      <c r="M102" s="365"/>
      <c r="N102" s="379">
        <f t="shared" si="56"/>
        <v>945</v>
      </c>
      <c r="O102" s="382">
        <f t="shared" si="58"/>
        <v>61056.45</v>
      </c>
      <c r="P102" s="370">
        <f t="shared" si="59"/>
        <v>945</v>
      </c>
      <c r="Q102" s="172">
        <v>0.01</v>
      </c>
      <c r="R102" s="371">
        <f t="shared" si="60"/>
        <v>610.56449999999995</v>
      </c>
      <c r="S102" s="172">
        <v>0.04</v>
      </c>
      <c r="T102" s="371">
        <f t="shared" si="61"/>
        <v>2442.2579999999998</v>
      </c>
      <c r="U102" s="372">
        <f t="shared" si="62"/>
        <v>5</v>
      </c>
      <c r="V102" s="172">
        <v>0.95</v>
      </c>
      <c r="W102" s="371">
        <f t="shared" si="63"/>
        <v>58003.627499999995</v>
      </c>
      <c r="X102" s="373"/>
      <c r="Y102" s="373"/>
      <c r="Z102" s="373"/>
      <c r="AA102" s="373"/>
      <c r="AB102" s="373"/>
      <c r="AC102" s="373"/>
      <c r="AD102" s="373"/>
      <c r="AE102" s="373"/>
      <c r="AF102" s="373"/>
      <c r="AG102" s="373"/>
      <c r="AH102" s="373">
        <f>+$R102</f>
        <v>610.56449999999995</v>
      </c>
      <c r="AI102" s="373">
        <f>+$T102/5</f>
        <v>488.45159999999998</v>
      </c>
      <c r="AJ102" s="373">
        <f>+$T102/5</f>
        <v>488.45159999999998</v>
      </c>
      <c r="AK102" s="373">
        <f>+$T102/5</f>
        <v>488.45159999999998</v>
      </c>
      <c r="AL102" s="373">
        <f>+$T102/5</f>
        <v>488.45159999999998</v>
      </c>
      <c r="AM102" s="373">
        <f>+$T102/5</f>
        <v>488.45159999999998</v>
      </c>
      <c r="AN102" s="373">
        <f>+$W102</f>
        <v>58003.627499999995</v>
      </c>
      <c r="AO102" s="373">
        <v>0</v>
      </c>
      <c r="AP102" s="373">
        <v>0</v>
      </c>
      <c r="AQ102" s="373">
        <v>0</v>
      </c>
      <c r="AR102" s="373">
        <v>0</v>
      </c>
      <c r="AS102" s="373">
        <v>0</v>
      </c>
      <c r="AT102" s="373">
        <v>0</v>
      </c>
      <c r="AU102" s="373">
        <v>0</v>
      </c>
      <c r="AV102" s="373">
        <v>0</v>
      </c>
      <c r="AW102" s="373">
        <v>0</v>
      </c>
      <c r="AX102" s="373">
        <v>0</v>
      </c>
      <c r="AY102" s="373">
        <v>0</v>
      </c>
      <c r="AZ102" s="373">
        <v>0</v>
      </c>
      <c r="BA102" s="373">
        <v>0</v>
      </c>
      <c r="BB102" s="373">
        <v>0</v>
      </c>
      <c r="BC102" s="373">
        <v>0</v>
      </c>
      <c r="BD102" s="373">
        <v>0</v>
      </c>
      <c r="BE102" s="373">
        <v>0</v>
      </c>
      <c r="BF102" s="373">
        <v>0</v>
      </c>
      <c r="BG102" s="373">
        <v>0</v>
      </c>
      <c r="BH102" s="373">
        <v>0</v>
      </c>
      <c r="BI102" s="373">
        <v>0</v>
      </c>
      <c r="BJ102" s="373">
        <v>0</v>
      </c>
      <c r="BK102" s="373">
        <v>0</v>
      </c>
      <c r="BL102" s="373">
        <v>0</v>
      </c>
      <c r="BM102" s="373">
        <v>0</v>
      </c>
      <c r="BN102" s="373">
        <v>0</v>
      </c>
      <c r="BO102" s="373">
        <v>0</v>
      </c>
      <c r="BP102" s="373">
        <v>0</v>
      </c>
      <c r="BQ102" s="373">
        <v>0</v>
      </c>
      <c r="BR102" s="373">
        <v>0</v>
      </c>
      <c r="BS102" s="373">
        <v>0</v>
      </c>
      <c r="BT102" s="373">
        <v>0</v>
      </c>
      <c r="BU102" s="373">
        <v>0</v>
      </c>
      <c r="BV102" s="373">
        <v>0</v>
      </c>
      <c r="BW102" s="373">
        <v>0</v>
      </c>
      <c r="BX102" s="373">
        <v>0</v>
      </c>
      <c r="BY102" s="373">
        <v>0</v>
      </c>
      <c r="BZ102" s="373">
        <v>0</v>
      </c>
      <c r="CA102" s="373">
        <v>0</v>
      </c>
      <c r="CB102" s="373">
        <v>0</v>
      </c>
      <c r="CC102" s="373">
        <v>0</v>
      </c>
      <c r="CD102" s="373">
        <v>0</v>
      </c>
      <c r="CE102" s="373">
        <v>0</v>
      </c>
      <c r="CF102" s="373">
        <v>0</v>
      </c>
      <c r="CG102" s="373">
        <v>0</v>
      </c>
      <c r="CH102" s="373">
        <v>0</v>
      </c>
      <c r="CI102" s="373">
        <v>0</v>
      </c>
      <c r="CJ102" s="373">
        <v>0</v>
      </c>
      <c r="CK102" s="373">
        <v>0</v>
      </c>
      <c r="CL102" s="373">
        <v>0</v>
      </c>
      <c r="CM102" s="373">
        <v>0</v>
      </c>
      <c r="CN102" s="373">
        <v>0</v>
      </c>
      <c r="CO102" s="373">
        <v>0</v>
      </c>
      <c r="CP102" s="373">
        <v>0</v>
      </c>
      <c r="CQ102" s="373">
        <v>0</v>
      </c>
      <c r="CR102" s="373">
        <v>0</v>
      </c>
      <c r="CS102" s="365">
        <v>0</v>
      </c>
      <c r="CT102" s="373">
        <v>0</v>
      </c>
      <c r="CU102" s="373">
        <v>0</v>
      </c>
      <c r="CV102" s="373">
        <v>0</v>
      </c>
      <c r="CW102" s="373">
        <v>0</v>
      </c>
      <c r="CX102" s="373">
        <v>0</v>
      </c>
      <c r="CY102" s="373">
        <v>0</v>
      </c>
      <c r="CZ102" s="373">
        <v>0</v>
      </c>
      <c r="DA102" s="373">
        <v>0</v>
      </c>
      <c r="DB102" s="373">
        <v>0</v>
      </c>
      <c r="DC102" s="373">
        <v>0</v>
      </c>
      <c r="DD102" s="373">
        <v>0</v>
      </c>
      <c r="DE102" s="373">
        <v>0</v>
      </c>
      <c r="DF102" s="373">
        <v>0</v>
      </c>
      <c r="DG102" s="373">
        <v>0</v>
      </c>
      <c r="DH102" s="373">
        <v>0</v>
      </c>
      <c r="DI102" s="373">
        <v>0</v>
      </c>
      <c r="DJ102" s="373">
        <v>0</v>
      </c>
      <c r="DK102" s="373">
        <v>0</v>
      </c>
      <c r="DL102" s="373">
        <v>0</v>
      </c>
      <c r="DM102" s="373">
        <v>0</v>
      </c>
      <c r="DN102" s="373">
        <v>0</v>
      </c>
      <c r="DO102" s="373">
        <v>0</v>
      </c>
      <c r="DP102" s="373">
        <v>0</v>
      </c>
      <c r="DQ102" s="373">
        <v>0</v>
      </c>
      <c r="DR102" s="373">
        <v>0</v>
      </c>
      <c r="DS102" s="365">
        <v>0</v>
      </c>
      <c r="DT102" s="374">
        <f t="shared" si="64"/>
        <v>61056.45</v>
      </c>
      <c r="DU102" s="375">
        <f t="shared" si="65"/>
        <v>0</v>
      </c>
      <c r="DV102" s="376"/>
      <c r="DW102" s="138" t="b">
        <f t="shared" si="66"/>
        <v>1</v>
      </c>
    </row>
    <row r="103" spans="1:127" s="138" customFormat="1" ht="12" customHeight="1">
      <c r="A103" s="169" t="s">
        <v>465</v>
      </c>
      <c r="B103" s="170"/>
      <c r="C103" s="171" t="s">
        <v>282</v>
      </c>
      <c r="D103" s="171"/>
      <c r="E103" s="365">
        <f t="shared" si="53"/>
        <v>64.61</v>
      </c>
      <c r="F103" s="365">
        <f t="shared" si="54"/>
        <v>0</v>
      </c>
      <c r="G103" s="365">
        <f t="shared" si="52"/>
        <v>64.61</v>
      </c>
      <c r="H103" s="365">
        <f t="shared" si="55"/>
        <v>0</v>
      </c>
      <c r="I103" s="365">
        <f t="shared" si="67"/>
        <v>149.1</v>
      </c>
      <c r="J103" s="366">
        <f t="shared" si="57"/>
        <v>0</v>
      </c>
      <c r="K103" s="378"/>
      <c r="L103" s="378"/>
      <c r="M103" s="365"/>
      <c r="N103" s="379">
        <f t="shared" si="56"/>
        <v>945</v>
      </c>
      <c r="O103" s="382">
        <f t="shared" si="58"/>
        <v>61056.45</v>
      </c>
      <c r="P103" s="370">
        <f t="shared" si="59"/>
        <v>945</v>
      </c>
      <c r="Q103" s="172">
        <v>0.01</v>
      </c>
      <c r="R103" s="371">
        <f t="shared" si="60"/>
        <v>610.56449999999995</v>
      </c>
      <c r="S103" s="172">
        <v>0.04</v>
      </c>
      <c r="T103" s="371">
        <f t="shared" si="61"/>
        <v>2442.2579999999998</v>
      </c>
      <c r="U103" s="372">
        <f t="shared" si="62"/>
        <v>3</v>
      </c>
      <c r="V103" s="172">
        <v>0.95</v>
      </c>
      <c r="W103" s="371">
        <f t="shared" si="63"/>
        <v>58003.627499999995</v>
      </c>
      <c r="X103" s="373"/>
      <c r="Y103" s="373"/>
      <c r="Z103" s="373"/>
      <c r="AA103" s="373"/>
      <c r="AB103" s="373"/>
      <c r="AC103" s="373"/>
      <c r="AD103" s="373"/>
      <c r="AE103" s="373"/>
      <c r="AF103" s="373"/>
      <c r="AG103" s="373"/>
      <c r="AH103" s="373">
        <f>+$R103</f>
        <v>610.56449999999995</v>
      </c>
      <c r="AI103" s="373">
        <f>+$T103/3</f>
        <v>814.0859999999999</v>
      </c>
      <c r="AJ103" s="373">
        <f>+$T103/3</f>
        <v>814.0859999999999</v>
      </c>
      <c r="AK103" s="373">
        <f>+$T103/3</f>
        <v>814.0859999999999</v>
      </c>
      <c r="AL103" s="373">
        <f>+$W103</f>
        <v>58003.627499999995</v>
      </c>
      <c r="AM103" s="373">
        <v>0</v>
      </c>
      <c r="AN103" s="373">
        <v>0</v>
      </c>
      <c r="AO103" s="373">
        <v>0</v>
      </c>
      <c r="AP103" s="373">
        <v>0</v>
      </c>
      <c r="AQ103" s="373">
        <v>0</v>
      </c>
      <c r="AR103" s="373">
        <v>0</v>
      </c>
      <c r="AS103" s="373">
        <v>0</v>
      </c>
      <c r="AT103" s="373">
        <v>0</v>
      </c>
      <c r="AU103" s="373">
        <v>0</v>
      </c>
      <c r="AV103" s="373">
        <v>0</v>
      </c>
      <c r="AW103" s="373">
        <v>0</v>
      </c>
      <c r="AX103" s="373">
        <v>0</v>
      </c>
      <c r="AY103" s="373">
        <v>0</v>
      </c>
      <c r="AZ103" s="373">
        <v>0</v>
      </c>
      <c r="BA103" s="373">
        <v>0</v>
      </c>
      <c r="BB103" s="373">
        <v>0</v>
      </c>
      <c r="BC103" s="373">
        <v>0</v>
      </c>
      <c r="BD103" s="373">
        <v>0</v>
      </c>
      <c r="BE103" s="373">
        <v>0</v>
      </c>
      <c r="BF103" s="373">
        <v>0</v>
      </c>
      <c r="BG103" s="373">
        <v>0</v>
      </c>
      <c r="BH103" s="373">
        <v>0</v>
      </c>
      <c r="BI103" s="373">
        <v>0</v>
      </c>
      <c r="BJ103" s="373">
        <v>0</v>
      </c>
      <c r="BK103" s="373">
        <v>0</v>
      </c>
      <c r="BL103" s="373">
        <v>0</v>
      </c>
      <c r="BM103" s="373">
        <v>0</v>
      </c>
      <c r="BN103" s="373">
        <v>0</v>
      </c>
      <c r="BO103" s="373">
        <v>0</v>
      </c>
      <c r="BP103" s="373">
        <v>0</v>
      </c>
      <c r="BQ103" s="373">
        <v>0</v>
      </c>
      <c r="BR103" s="373">
        <v>0</v>
      </c>
      <c r="BS103" s="373">
        <v>0</v>
      </c>
      <c r="BT103" s="373">
        <v>0</v>
      </c>
      <c r="BU103" s="373">
        <v>0</v>
      </c>
      <c r="BV103" s="373">
        <v>0</v>
      </c>
      <c r="BW103" s="373">
        <v>0</v>
      </c>
      <c r="BX103" s="373">
        <v>0</v>
      </c>
      <c r="BY103" s="373">
        <v>0</v>
      </c>
      <c r="BZ103" s="373">
        <v>0</v>
      </c>
      <c r="CA103" s="373">
        <v>0</v>
      </c>
      <c r="CB103" s="373">
        <v>0</v>
      </c>
      <c r="CC103" s="373">
        <v>0</v>
      </c>
      <c r="CD103" s="373">
        <v>0</v>
      </c>
      <c r="CE103" s="373">
        <v>0</v>
      </c>
      <c r="CF103" s="373">
        <v>0</v>
      </c>
      <c r="CG103" s="373">
        <v>0</v>
      </c>
      <c r="CH103" s="373">
        <v>0</v>
      </c>
      <c r="CI103" s="373">
        <v>0</v>
      </c>
      <c r="CJ103" s="373">
        <v>0</v>
      </c>
      <c r="CK103" s="373">
        <v>0</v>
      </c>
      <c r="CL103" s="373">
        <v>0</v>
      </c>
      <c r="CM103" s="373">
        <v>0</v>
      </c>
      <c r="CN103" s="373">
        <v>0</v>
      </c>
      <c r="CO103" s="373">
        <v>0</v>
      </c>
      <c r="CP103" s="373">
        <v>0</v>
      </c>
      <c r="CQ103" s="373">
        <v>0</v>
      </c>
      <c r="CR103" s="373">
        <v>0</v>
      </c>
      <c r="CS103" s="365">
        <v>0</v>
      </c>
      <c r="CT103" s="373">
        <v>0</v>
      </c>
      <c r="CU103" s="373">
        <v>0</v>
      </c>
      <c r="CV103" s="373">
        <v>0</v>
      </c>
      <c r="CW103" s="373">
        <v>0</v>
      </c>
      <c r="CX103" s="373">
        <v>0</v>
      </c>
      <c r="CY103" s="373">
        <v>0</v>
      </c>
      <c r="CZ103" s="373">
        <v>0</v>
      </c>
      <c r="DA103" s="373">
        <v>0</v>
      </c>
      <c r="DB103" s="373">
        <v>0</v>
      </c>
      <c r="DC103" s="373">
        <v>0</v>
      </c>
      <c r="DD103" s="373">
        <v>0</v>
      </c>
      <c r="DE103" s="373">
        <v>0</v>
      </c>
      <c r="DF103" s="373">
        <v>0</v>
      </c>
      <c r="DG103" s="373">
        <v>0</v>
      </c>
      <c r="DH103" s="373">
        <v>0</v>
      </c>
      <c r="DI103" s="373">
        <v>0</v>
      </c>
      <c r="DJ103" s="373">
        <v>0</v>
      </c>
      <c r="DK103" s="373">
        <v>0</v>
      </c>
      <c r="DL103" s="373">
        <v>0</v>
      </c>
      <c r="DM103" s="373">
        <v>0</v>
      </c>
      <c r="DN103" s="373">
        <v>0</v>
      </c>
      <c r="DO103" s="373">
        <v>0</v>
      </c>
      <c r="DP103" s="373">
        <v>0</v>
      </c>
      <c r="DQ103" s="373">
        <v>0</v>
      </c>
      <c r="DR103" s="373">
        <v>0</v>
      </c>
      <c r="DS103" s="365">
        <v>0</v>
      </c>
      <c r="DT103" s="374">
        <f t="shared" si="64"/>
        <v>61056.45</v>
      </c>
      <c r="DU103" s="375">
        <f t="shared" si="65"/>
        <v>0</v>
      </c>
      <c r="DV103" s="376"/>
      <c r="DW103" s="138" t="b">
        <f t="shared" si="66"/>
        <v>1</v>
      </c>
    </row>
    <row r="104" spans="1:127" s="138" customFormat="1" ht="12" customHeight="1">
      <c r="A104" s="169" t="s">
        <v>466</v>
      </c>
      <c r="B104" s="170"/>
      <c r="C104" s="171" t="s">
        <v>282</v>
      </c>
      <c r="D104" s="171"/>
      <c r="E104" s="365">
        <f t="shared" si="53"/>
        <v>64.61</v>
      </c>
      <c r="F104" s="365">
        <f t="shared" si="54"/>
        <v>0</v>
      </c>
      <c r="G104" s="365">
        <f t="shared" si="52"/>
        <v>64.61</v>
      </c>
      <c r="H104" s="365">
        <f t="shared" si="55"/>
        <v>0</v>
      </c>
      <c r="I104" s="365">
        <f t="shared" si="67"/>
        <v>149.1</v>
      </c>
      <c r="J104" s="366">
        <f t="shared" si="57"/>
        <v>0</v>
      </c>
      <c r="K104" s="378"/>
      <c r="L104" s="378"/>
      <c r="M104" s="365"/>
      <c r="N104" s="379">
        <f t="shared" si="56"/>
        <v>945</v>
      </c>
      <c r="O104" s="382">
        <f t="shared" si="58"/>
        <v>61056.45</v>
      </c>
      <c r="P104" s="370">
        <f t="shared" si="59"/>
        <v>945</v>
      </c>
      <c r="Q104" s="172">
        <v>0.01</v>
      </c>
      <c r="R104" s="371">
        <f t="shared" si="60"/>
        <v>610.56449999999995</v>
      </c>
      <c r="S104" s="172">
        <v>0.04</v>
      </c>
      <c r="T104" s="371">
        <f t="shared" si="61"/>
        <v>2442.2579999999998</v>
      </c>
      <c r="U104" s="372">
        <f t="shared" si="62"/>
        <v>1</v>
      </c>
      <c r="V104" s="172">
        <v>0.95</v>
      </c>
      <c r="W104" s="371">
        <f t="shared" si="63"/>
        <v>58003.627499999995</v>
      </c>
      <c r="X104" s="373"/>
      <c r="Y104" s="373"/>
      <c r="Z104" s="373"/>
      <c r="AA104" s="373"/>
      <c r="AB104" s="373"/>
      <c r="AC104" s="373"/>
      <c r="AD104" s="373"/>
      <c r="AE104" s="373"/>
      <c r="AF104" s="373"/>
      <c r="AG104" s="373"/>
      <c r="AH104" s="373"/>
      <c r="AI104" s="373">
        <f>+$R104</f>
        <v>610.56449999999995</v>
      </c>
      <c r="AJ104" s="373">
        <f>+$T104/1</f>
        <v>2442.2579999999998</v>
      </c>
      <c r="AK104" s="373">
        <f>+$W104</f>
        <v>58003.627499999995</v>
      </c>
      <c r="AL104" s="373">
        <v>0</v>
      </c>
      <c r="AM104" s="373">
        <v>0</v>
      </c>
      <c r="AN104" s="373">
        <v>0</v>
      </c>
      <c r="AO104" s="373">
        <v>0</v>
      </c>
      <c r="AP104" s="373">
        <v>0</v>
      </c>
      <c r="AQ104" s="373">
        <v>0</v>
      </c>
      <c r="AR104" s="373">
        <v>0</v>
      </c>
      <c r="AS104" s="373">
        <v>0</v>
      </c>
      <c r="AT104" s="373">
        <v>0</v>
      </c>
      <c r="AU104" s="373">
        <v>0</v>
      </c>
      <c r="AV104" s="373">
        <v>0</v>
      </c>
      <c r="AW104" s="373">
        <v>0</v>
      </c>
      <c r="AX104" s="373">
        <v>0</v>
      </c>
      <c r="AY104" s="373">
        <v>0</v>
      </c>
      <c r="AZ104" s="373">
        <v>0</v>
      </c>
      <c r="BA104" s="373">
        <v>0</v>
      </c>
      <c r="BB104" s="373">
        <v>0</v>
      </c>
      <c r="BC104" s="373">
        <v>0</v>
      </c>
      <c r="BD104" s="373">
        <v>0</v>
      </c>
      <c r="BE104" s="373">
        <v>0</v>
      </c>
      <c r="BF104" s="373">
        <v>0</v>
      </c>
      <c r="BG104" s="373">
        <v>0</v>
      </c>
      <c r="BH104" s="373">
        <v>0</v>
      </c>
      <c r="BI104" s="373">
        <v>0</v>
      </c>
      <c r="BJ104" s="373">
        <v>0</v>
      </c>
      <c r="BK104" s="373">
        <v>0</v>
      </c>
      <c r="BL104" s="373">
        <v>0</v>
      </c>
      <c r="BM104" s="373">
        <v>0</v>
      </c>
      <c r="BN104" s="373">
        <v>0</v>
      </c>
      <c r="BO104" s="373">
        <v>0</v>
      </c>
      <c r="BP104" s="373">
        <v>0</v>
      </c>
      <c r="BQ104" s="373">
        <v>0</v>
      </c>
      <c r="BR104" s="373">
        <v>0</v>
      </c>
      <c r="BS104" s="373">
        <v>0</v>
      </c>
      <c r="BT104" s="373">
        <v>0</v>
      </c>
      <c r="BU104" s="373">
        <v>0</v>
      </c>
      <c r="BV104" s="373">
        <v>0</v>
      </c>
      <c r="BW104" s="373">
        <v>0</v>
      </c>
      <c r="BX104" s="373">
        <v>0</v>
      </c>
      <c r="BY104" s="373">
        <v>0</v>
      </c>
      <c r="BZ104" s="373">
        <v>0</v>
      </c>
      <c r="CA104" s="373">
        <v>0</v>
      </c>
      <c r="CB104" s="373">
        <v>0</v>
      </c>
      <c r="CC104" s="373">
        <v>0</v>
      </c>
      <c r="CD104" s="373">
        <v>0</v>
      </c>
      <c r="CE104" s="373">
        <v>0</v>
      </c>
      <c r="CF104" s="373">
        <v>0</v>
      </c>
      <c r="CG104" s="373">
        <v>0</v>
      </c>
      <c r="CH104" s="373">
        <v>0</v>
      </c>
      <c r="CI104" s="373">
        <v>0</v>
      </c>
      <c r="CJ104" s="373">
        <v>0</v>
      </c>
      <c r="CK104" s="373">
        <v>0</v>
      </c>
      <c r="CL104" s="373">
        <v>0</v>
      </c>
      <c r="CM104" s="373">
        <v>0</v>
      </c>
      <c r="CN104" s="373">
        <v>0</v>
      </c>
      <c r="CO104" s="373">
        <v>0</v>
      </c>
      <c r="CP104" s="373">
        <v>0</v>
      </c>
      <c r="CQ104" s="373">
        <v>0</v>
      </c>
      <c r="CR104" s="373">
        <v>0</v>
      </c>
      <c r="CS104" s="365">
        <v>0</v>
      </c>
      <c r="CT104" s="373">
        <v>0</v>
      </c>
      <c r="CU104" s="373">
        <v>0</v>
      </c>
      <c r="CV104" s="373">
        <v>0</v>
      </c>
      <c r="CW104" s="373">
        <v>0</v>
      </c>
      <c r="CX104" s="373">
        <v>0</v>
      </c>
      <c r="CY104" s="373">
        <v>0</v>
      </c>
      <c r="CZ104" s="373">
        <v>0</v>
      </c>
      <c r="DA104" s="373">
        <v>0</v>
      </c>
      <c r="DB104" s="373">
        <v>0</v>
      </c>
      <c r="DC104" s="373">
        <v>0</v>
      </c>
      <c r="DD104" s="373">
        <v>0</v>
      </c>
      <c r="DE104" s="373">
        <v>0</v>
      </c>
      <c r="DF104" s="373">
        <v>0</v>
      </c>
      <c r="DG104" s="373">
        <v>0</v>
      </c>
      <c r="DH104" s="373">
        <v>0</v>
      </c>
      <c r="DI104" s="373">
        <v>0</v>
      </c>
      <c r="DJ104" s="373">
        <v>0</v>
      </c>
      <c r="DK104" s="373">
        <v>0</v>
      </c>
      <c r="DL104" s="373">
        <v>0</v>
      </c>
      <c r="DM104" s="373">
        <v>0</v>
      </c>
      <c r="DN104" s="373">
        <v>0</v>
      </c>
      <c r="DO104" s="373">
        <v>0</v>
      </c>
      <c r="DP104" s="373">
        <v>0</v>
      </c>
      <c r="DQ104" s="373">
        <v>0</v>
      </c>
      <c r="DR104" s="373">
        <v>0</v>
      </c>
      <c r="DS104" s="365">
        <v>0</v>
      </c>
      <c r="DT104" s="374">
        <f t="shared" si="64"/>
        <v>61056.45</v>
      </c>
      <c r="DU104" s="375">
        <f t="shared" si="65"/>
        <v>0</v>
      </c>
      <c r="DV104" s="376"/>
      <c r="DW104" s="138" t="b">
        <f t="shared" si="66"/>
        <v>1</v>
      </c>
    </row>
    <row r="105" spans="1:127" s="138" customFormat="1" ht="12" customHeight="1">
      <c r="A105" s="169" t="s">
        <v>467</v>
      </c>
      <c r="B105" s="170"/>
      <c r="C105" s="171" t="s">
        <v>282</v>
      </c>
      <c r="D105" s="171"/>
      <c r="E105" s="365">
        <f t="shared" si="53"/>
        <v>64.61</v>
      </c>
      <c r="F105" s="365">
        <f t="shared" si="54"/>
        <v>0</v>
      </c>
      <c r="G105" s="365">
        <f t="shared" si="52"/>
        <v>64.61</v>
      </c>
      <c r="H105" s="365">
        <f t="shared" si="55"/>
        <v>0</v>
      </c>
      <c r="I105" s="365">
        <f t="shared" si="67"/>
        <v>149.1</v>
      </c>
      <c r="J105" s="366">
        <f t="shared" si="57"/>
        <v>0</v>
      </c>
      <c r="K105" s="378" t="s">
        <v>468</v>
      </c>
      <c r="L105" s="378" t="s">
        <v>329</v>
      </c>
      <c r="M105" s="365">
        <v>5000</v>
      </c>
      <c r="N105" s="379">
        <f t="shared" si="56"/>
        <v>945</v>
      </c>
      <c r="O105" s="385">
        <f t="shared" si="58"/>
        <v>66056.45</v>
      </c>
      <c r="P105" s="370">
        <f t="shared" si="59"/>
        <v>1022.3874013310633</v>
      </c>
      <c r="Q105" s="172">
        <v>0.01</v>
      </c>
      <c r="R105" s="371">
        <f t="shared" si="60"/>
        <v>660.56449999999995</v>
      </c>
      <c r="S105" s="172">
        <v>0.04</v>
      </c>
      <c r="T105" s="371">
        <f t="shared" si="61"/>
        <v>2642.2579999999998</v>
      </c>
      <c r="U105" s="372">
        <f t="shared" si="62"/>
        <v>5</v>
      </c>
      <c r="V105" s="172">
        <v>0.95</v>
      </c>
      <c r="W105" s="371">
        <f t="shared" si="63"/>
        <v>62753.627499999995</v>
      </c>
      <c r="X105" s="373"/>
      <c r="Y105" s="373"/>
      <c r="Z105" s="373"/>
      <c r="AA105" s="373"/>
      <c r="AB105" s="373"/>
      <c r="AC105" s="373"/>
      <c r="AD105" s="373"/>
      <c r="AE105" s="373"/>
      <c r="AF105" s="373"/>
      <c r="AG105" s="373"/>
      <c r="AH105" s="373"/>
      <c r="AI105" s="373">
        <f>+$R105</f>
        <v>660.56449999999995</v>
      </c>
      <c r="AJ105" s="373">
        <f>+$T105/5</f>
        <v>528.45159999999998</v>
      </c>
      <c r="AK105" s="373">
        <f>+$T105/5</f>
        <v>528.45159999999998</v>
      </c>
      <c r="AL105" s="373">
        <f>+$T105/5</f>
        <v>528.45159999999998</v>
      </c>
      <c r="AM105" s="373">
        <f>+$T105/5</f>
        <v>528.45159999999998</v>
      </c>
      <c r="AN105" s="373">
        <f>+$T105/5</f>
        <v>528.45159999999998</v>
      </c>
      <c r="AO105" s="373">
        <f>+$W105</f>
        <v>62753.627499999995</v>
      </c>
      <c r="AP105" s="373">
        <v>0</v>
      </c>
      <c r="AQ105" s="373">
        <v>0</v>
      </c>
      <c r="AR105" s="373">
        <v>0</v>
      </c>
      <c r="AS105" s="373">
        <v>0</v>
      </c>
      <c r="AT105" s="373">
        <v>0</v>
      </c>
      <c r="AU105" s="373">
        <v>0</v>
      </c>
      <c r="AV105" s="373">
        <v>0</v>
      </c>
      <c r="AW105" s="373">
        <v>0</v>
      </c>
      <c r="AX105" s="373">
        <v>0</v>
      </c>
      <c r="AY105" s="373">
        <v>0</v>
      </c>
      <c r="AZ105" s="373">
        <v>0</v>
      </c>
      <c r="BA105" s="373">
        <v>0</v>
      </c>
      <c r="BB105" s="373">
        <v>0</v>
      </c>
      <c r="BC105" s="373">
        <v>0</v>
      </c>
      <c r="BD105" s="373">
        <v>0</v>
      </c>
      <c r="BE105" s="373">
        <v>0</v>
      </c>
      <c r="BF105" s="373">
        <v>0</v>
      </c>
      <c r="BG105" s="373">
        <v>0</v>
      </c>
      <c r="BH105" s="373">
        <v>0</v>
      </c>
      <c r="BI105" s="373">
        <v>0</v>
      </c>
      <c r="BJ105" s="373">
        <v>0</v>
      </c>
      <c r="BK105" s="373">
        <v>0</v>
      </c>
      <c r="BL105" s="373">
        <v>0</v>
      </c>
      <c r="BM105" s="373">
        <v>0</v>
      </c>
      <c r="BN105" s="373">
        <v>0</v>
      </c>
      <c r="BO105" s="373">
        <v>0</v>
      </c>
      <c r="BP105" s="373">
        <v>0</v>
      </c>
      <c r="BQ105" s="373">
        <v>0</v>
      </c>
      <c r="BR105" s="373">
        <v>0</v>
      </c>
      <c r="BS105" s="373">
        <v>0</v>
      </c>
      <c r="BT105" s="373">
        <v>0</v>
      </c>
      <c r="BU105" s="373">
        <v>0</v>
      </c>
      <c r="BV105" s="373">
        <v>0</v>
      </c>
      <c r="BW105" s="373">
        <v>0</v>
      </c>
      <c r="BX105" s="373">
        <v>0</v>
      </c>
      <c r="BY105" s="373">
        <v>0</v>
      </c>
      <c r="BZ105" s="373">
        <v>0</v>
      </c>
      <c r="CA105" s="373">
        <v>0</v>
      </c>
      <c r="CB105" s="373">
        <v>0</v>
      </c>
      <c r="CC105" s="373">
        <v>0</v>
      </c>
      <c r="CD105" s="373">
        <v>0</v>
      </c>
      <c r="CE105" s="373">
        <v>0</v>
      </c>
      <c r="CF105" s="373">
        <v>0</v>
      </c>
      <c r="CG105" s="373">
        <v>0</v>
      </c>
      <c r="CH105" s="373">
        <v>0</v>
      </c>
      <c r="CI105" s="373">
        <v>0</v>
      </c>
      <c r="CJ105" s="373">
        <v>0</v>
      </c>
      <c r="CK105" s="373">
        <v>0</v>
      </c>
      <c r="CL105" s="373">
        <v>0</v>
      </c>
      <c r="CM105" s="373">
        <v>0</v>
      </c>
      <c r="CN105" s="373">
        <v>0</v>
      </c>
      <c r="CO105" s="373">
        <v>0</v>
      </c>
      <c r="CP105" s="373">
        <v>0</v>
      </c>
      <c r="CQ105" s="373">
        <v>0</v>
      </c>
      <c r="CR105" s="373">
        <v>0</v>
      </c>
      <c r="CS105" s="365">
        <v>0</v>
      </c>
      <c r="CT105" s="373">
        <v>0</v>
      </c>
      <c r="CU105" s="373">
        <v>0</v>
      </c>
      <c r="CV105" s="373">
        <v>0</v>
      </c>
      <c r="CW105" s="373">
        <v>0</v>
      </c>
      <c r="CX105" s="373">
        <v>0</v>
      </c>
      <c r="CY105" s="373">
        <v>0</v>
      </c>
      <c r="CZ105" s="373">
        <v>0</v>
      </c>
      <c r="DA105" s="373">
        <v>0</v>
      </c>
      <c r="DB105" s="373">
        <v>0</v>
      </c>
      <c r="DC105" s="373">
        <v>0</v>
      </c>
      <c r="DD105" s="373">
        <v>0</v>
      </c>
      <c r="DE105" s="373">
        <v>0</v>
      </c>
      <c r="DF105" s="373">
        <v>0</v>
      </c>
      <c r="DG105" s="373">
        <v>0</v>
      </c>
      <c r="DH105" s="373">
        <v>0</v>
      </c>
      <c r="DI105" s="373">
        <v>0</v>
      </c>
      <c r="DJ105" s="373">
        <v>0</v>
      </c>
      <c r="DK105" s="373">
        <v>0</v>
      </c>
      <c r="DL105" s="373">
        <v>0</v>
      </c>
      <c r="DM105" s="373">
        <v>0</v>
      </c>
      <c r="DN105" s="373">
        <v>0</v>
      </c>
      <c r="DO105" s="373">
        <v>0</v>
      </c>
      <c r="DP105" s="373">
        <v>0</v>
      </c>
      <c r="DQ105" s="373">
        <v>0</v>
      </c>
      <c r="DR105" s="373">
        <v>0</v>
      </c>
      <c r="DS105" s="365">
        <v>0</v>
      </c>
      <c r="DT105" s="374">
        <f t="shared" si="64"/>
        <v>66056.45</v>
      </c>
      <c r="DU105" s="375">
        <f t="shared" si="65"/>
        <v>0</v>
      </c>
      <c r="DV105" s="376"/>
      <c r="DW105" s="138" t="b">
        <f t="shared" si="66"/>
        <v>1</v>
      </c>
    </row>
    <row r="106" spans="1:127" s="138" customFormat="1" ht="12" customHeight="1">
      <c r="A106" s="169" t="s">
        <v>469</v>
      </c>
      <c r="B106" s="170"/>
      <c r="C106" s="171" t="s">
        <v>282</v>
      </c>
      <c r="D106" s="171"/>
      <c r="E106" s="365">
        <f t="shared" si="53"/>
        <v>64.61</v>
      </c>
      <c r="F106" s="365">
        <f t="shared" si="54"/>
        <v>0</v>
      </c>
      <c r="G106" s="365">
        <f t="shared" si="52"/>
        <v>64.61</v>
      </c>
      <c r="H106" s="365">
        <f t="shared" si="55"/>
        <v>0</v>
      </c>
      <c r="I106" s="365">
        <f t="shared" si="67"/>
        <v>149.1</v>
      </c>
      <c r="J106" s="366">
        <f t="shared" si="57"/>
        <v>0</v>
      </c>
      <c r="K106" s="378" t="s">
        <v>470</v>
      </c>
      <c r="L106" s="378" t="s">
        <v>329</v>
      </c>
      <c r="M106" s="365">
        <v>5000</v>
      </c>
      <c r="N106" s="379">
        <f t="shared" si="56"/>
        <v>945</v>
      </c>
      <c r="O106" s="385">
        <f t="shared" si="58"/>
        <v>66056.45</v>
      </c>
      <c r="P106" s="370">
        <f t="shared" si="59"/>
        <v>1022.3874013310633</v>
      </c>
      <c r="Q106" s="172">
        <v>0.01</v>
      </c>
      <c r="R106" s="371">
        <f t="shared" si="60"/>
        <v>660.56449999999995</v>
      </c>
      <c r="S106" s="172">
        <v>0.04</v>
      </c>
      <c r="T106" s="371">
        <f t="shared" si="61"/>
        <v>2642.2579999999998</v>
      </c>
      <c r="U106" s="372">
        <f t="shared" si="62"/>
        <v>3</v>
      </c>
      <c r="V106" s="172">
        <v>0.95</v>
      </c>
      <c r="W106" s="371">
        <f t="shared" si="63"/>
        <v>62753.627499999995</v>
      </c>
      <c r="X106" s="373"/>
      <c r="Y106" s="373"/>
      <c r="Z106" s="373"/>
      <c r="AA106" s="373"/>
      <c r="AB106" s="373"/>
      <c r="AC106" s="373"/>
      <c r="AD106" s="373"/>
      <c r="AE106" s="373"/>
      <c r="AF106" s="373"/>
      <c r="AG106" s="373"/>
      <c r="AH106" s="373"/>
      <c r="AI106" s="373">
        <f>+$R106</f>
        <v>660.56449999999995</v>
      </c>
      <c r="AJ106" s="373">
        <f>+$T106/3</f>
        <v>880.75266666666664</v>
      </c>
      <c r="AK106" s="373">
        <f>+$T106/3</f>
        <v>880.75266666666664</v>
      </c>
      <c r="AL106" s="373">
        <f>+$T106/3</f>
        <v>880.75266666666664</v>
      </c>
      <c r="AM106" s="373">
        <f>+$W106</f>
        <v>62753.627499999995</v>
      </c>
      <c r="AN106" s="373">
        <v>0</v>
      </c>
      <c r="AO106" s="373">
        <v>0</v>
      </c>
      <c r="AP106" s="373">
        <v>0</v>
      </c>
      <c r="AQ106" s="373">
        <v>0</v>
      </c>
      <c r="AR106" s="373">
        <v>0</v>
      </c>
      <c r="AS106" s="373">
        <v>0</v>
      </c>
      <c r="AT106" s="373">
        <v>0</v>
      </c>
      <c r="AU106" s="373">
        <v>0</v>
      </c>
      <c r="AV106" s="373">
        <v>0</v>
      </c>
      <c r="AW106" s="373">
        <v>0</v>
      </c>
      <c r="AX106" s="373">
        <v>0</v>
      </c>
      <c r="AY106" s="373">
        <v>0</v>
      </c>
      <c r="AZ106" s="373">
        <v>0</v>
      </c>
      <c r="BA106" s="373">
        <v>0</v>
      </c>
      <c r="BB106" s="373">
        <v>0</v>
      </c>
      <c r="BC106" s="373">
        <v>0</v>
      </c>
      <c r="BD106" s="373">
        <v>0</v>
      </c>
      <c r="BE106" s="373">
        <v>0</v>
      </c>
      <c r="BF106" s="373">
        <v>0</v>
      </c>
      <c r="BG106" s="373">
        <v>0</v>
      </c>
      <c r="BH106" s="373">
        <v>0</v>
      </c>
      <c r="BI106" s="373">
        <v>0</v>
      </c>
      <c r="BJ106" s="373">
        <v>0</v>
      </c>
      <c r="BK106" s="373">
        <v>0</v>
      </c>
      <c r="BL106" s="373">
        <v>0</v>
      </c>
      <c r="BM106" s="373">
        <v>0</v>
      </c>
      <c r="BN106" s="373">
        <v>0</v>
      </c>
      <c r="BO106" s="373">
        <v>0</v>
      </c>
      <c r="BP106" s="373">
        <v>0</v>
      </c>
      <c r="BQ106" s="373">
        <v>0</v>
      </c>
      <c r="BR106" s="373">
        <v>0</v>
      </c>
      <c r="BS106" s="373">
        <v>0</v>
      </c>
      <c r="BT106" s="373">
        <v>0</v>
      </c>
      <c r="BU106" s="373">
        <v>0</v>
      </c>
      <c r="BV106" s="373">
        <v>0</v>
      </c>
      <c r="BW106" s="373">
        <v>0</v>
      </c>
      <c r="BX106" s="373">
        <v>0</v>
      </c>
      <c r="BY106" s="373">
        <v>0</v>
      </c>
      <c r="BZ106" s="373">
        <v>0</v>
      </c>
      <c r="CA106" s="373">
        <v>0</v>
      </c>
      <c r="CB106" s="373">
        <v>0</v>
      </c>
      <c r="CC106" s="373">
        <v>0</v>
      </c>
      <c r="CD106" s="373">
        <v>0</v>
      </c>
      <c r="CE106" s="373">
        <v>0</v>
      </c>
      <c r="CF106" s="373">
        <v>0</v>
      </c>
      <c r="CG106" s="373">
        <v>0</v>
      </c>
      <c r="CH106" s="373">
        <v>0</v>
      </c>
      <c r="CI106" s="373">
        <v>0</v>
      </c>
      <c r="CJ106" s="373">
        <v>0</v>
      </c>
      <c r="CK106" s="373">
        <v>0</v>
      </c>
      <c r="CL106" s="373">
        <v>0</v>
      </c>
      <c r="CM106" s="373">
        <v>0</v>
      </c>
      <c r="CN106" s="373">
        <v>0</v>
      </c>
      <c r="CO106" s="373">
        <v>0</v>
      </c>
      <c r="CP106" s="373">
        <v>0</v>
      </c>
      <c r="CQ106" s="373">
        <v>0</v>
      </c>
      <c r="CR106" s="373">
        <v>0</v>
      </c>
      <c r="CS106" s="365">
        <v>0</v>
      </c>
      <c r="CT106" s="373">
        <v>0</v>
      </c>
      <c r="CU106" s="373">
        <v>0</v>
      </c>
      <c r="CV106" s="373">
        <v>0</v>
      </c>
      <c r="CW106" s="373">
        <v>0</v>
      </c>
      <c r="CX106" s="373">
        <v>0</v>
      </c>
      <c r="CY106" s="373">
        <v>0</v>
      </c>
      <c r="CZ106" s="373">
        <v>0</v>
      </c>
      <c r="DA106" s="373">
        <v>0</v>
      </c>
      <c r="DB106" s="373">
        <v>0</v>
      </c>
      <c r="DC106" s="373">
        <v>0</v>
      </c>
      <c r="DD106" s="373">
        <v>0</v>
      </c>
      <c r="DE106" s="373">
        <v>0</v>
      </c>
      <c r="DF106" s="373">
        <v>0</v>
      </c>
      <c r="DG106" s="373">
        <v>0</v>
      </c>
      <c r="DH106" s="373">
        <v>0</v>
      </c>
      <c r="DI106" s="373">
        <v>0</v>
      </c>
      <c r="DJ106" s="373">
        <v>0</v>
      </c>
      <c r="DK106" s="373">
        <v>0</v>
      </c>
      <c r="DL106" s="373">
        <v>0</v>
      </c>
      <c r="DM106" s="373">
        <v>0</v>
      </c>
      <c r="DN106" s="373">
        <v>0</v>
      </c>
      <c r="DO106" s="373">
        <v>0</v>
      </c>
      <c r="DP106" s="373">
        <v>0</v>
      </c>
      <c r="DQ106" s="373">
        <v>0</v>
      </c>
      <c r="DR106" s="373">
        <v>0</v>
      </c>
      <c r="DS106" s="365">
        <v>0</v>
      </c>
      <c r="DT106" s="374">
        <f t="shared" si="64"/>
        <v>66056.45</v>
      </c>
      <c r="DU106" s="375">
        <f t="shared" si="65"/>
        <v>0</v>
      </c>
      <c r="DV106" s="376"/>
      <c r="DW106" s="138" t="b">
        <f t="shared" si="66"/>
        <v>1</v>
      </c>
    </row>
    <row r="107" spans="1:127" s="138" customFormat="1" ht="12" customHeight="1">
      <c r="A107" s="169" t="s">
        <v>471</v>
      </c>
      <c r="B107" s="170"/>
      <c r="C107" s="171" t="s">
        <v>282</v>
      </c>
      <c r="D107" s="171"/>
      <c r="E107" s="365">
        <f t="shared" si="53"/>
        <v>64.61</v>
      </c>
      <c r="F107" s="365">
        <f t="shared" si="54"/>
        <v>0</v>
      </c>
      <c r="G107" s="365">
        <f t="shared" si="52"/>
        <v>64.61</v>
      </c>
      <c r="H107" s="365">
        <f t="shared" si="55"/>
        <v>0</v>
      </c>
      <c r="I107" s="365">
        <f t="shared" si="67"/>
        <v>149.1</v>
      </c>
      <c r="J107" s="366">
        <f t="shared" si="57"/>
        <v>0</v>
      </c>
      <c r="K107" s="378" t="s">
        <v>472</v>
      </c>
      <c r="L107" s="378" t="s">
        <v>329</v>
      </c>
      <c r="M107" s="365">
        <v>5000</v>
      </c>
      <c r="N107" s="379">
        <f t="shared" si="56"/>
        <v>945</v>
      </c>
      <c r="O107" s="385">
        <f t="shared" si="58"/>
        <v>66056.45</v>
      </c>
      <c r="P107" s="370">
        <f t="shared" si="59"/>
        <v>1022.3874013310633</v>
      </c>
      <c r="Q107" s="172">
        <v>0.01</v>
      </c>
      <c r="R107" s="371">
        <f t="shared" si="60"/>
        <v>660.56449999999995</v>
      </c>
      <c r="S107" s="172">
        <v>0.04</v>
      </c>
      <c r="T107" s="371">
        <f t="shared" si="61"/>
        <v>2642.2579999999998</v>
      </c>
      <c r="U107" s="372">
        <f t="shared" si="62"/>
        <v>1</v>
      </c>
      <c r="V107" s="172">
        <v>0.95</v>
      </c>
      <c r="W107" s="371">
        <f t="shared" si="63"/>
        <v>62753.627499999995</v>
      </c>
      <c r="X107" s="373"/>
      <c r="Y107" s="373"/>
      <c r="Z107" s="373"/>
      <c r="AA107" s="373"/>
      <c r="AB107" s="373"/>
      <c r="AC107" s="373"/>
      <c r="AD107" s="373"/>
      <c r="AE107" s="373"/>
      <c r="AF107" s="373"/>
      <c r="AG107" s="373"/>
      <c r="AH107" s="373"/>
      <c r="AI107" s="373">
        <f>+$R107</f>
        <v>660.56449999999995</v>
      </c>
      <c r="AJ107" s="373">
        <f>+$T107/1</f>
        <v>2642.2579999999998</v>
      </c>
      <c r="AK107" s="373">
        <f>+$W107</f>
        <v>62753.627499999995</v>
      </c>
      <c r="AL107" s="373">
        <v>0</v>
      </c>
      <c r="AM107" s="373">
        <v>0</v>
      </c>
      <c r="AN107" s="373">
        <v>0</v>
      </c>
      <c r="AO107" s="373">
        <v>0</v>
      </c>
      <c r="AP107" s="373">
        <v>0</v>
      </c>
      <c r="AQ107" s="373">
        <v>0</v>
      </c>
      <c r="AR107" s="373">
        <v>0</v>
      </c>
      <c r="AS107" s="373">
        <v>0</v>
      </c>
      <c r="AT107" s="373">
        <v>0</v>
      </c>
      <c r="AU107" s="373">
        <v>0</v>
      </c>
      <c r="AV107" s="373">
        <v>0</v>
      </c>
      <c r="AW107" s="373">
        <v>0</v>
      </c>
      <c r="AX107" s="373">
        <v>0</v>
      </c>
      <c r="AY107" s="373">
        <v>0</v>
      </c>
      <c r="AZ107" s="373">
        <v>0</v>
      </c>
      <c r="BA107" s="373">
        <v>0</v>
      </c>
      <c r="BB107" s="373">
        <v>0</v>
      </c>
      <c r="BC107" s="373">
        <v>0</v>
      </c>
      <c r="BD107" s="373">
        <v>0</v>
      </c>
      <c r="BE107" s="373">
        <v>0</v>
      </c>
      <c r="BF107" s="373">
        <v>0</v>
      </c>
      <c r="BG107" s="373">
        <v>0</v>
      </c>
      <c r="BH107" s="373">
        <v>0</v>
      </c>
      <c r="BI107" s="373">
        <v>0</v>
      </c>
      <c r="BJ107" s="373">
        <v>0</v>
      </c>
      <c r="BK107" s="373">
        <v>0</v>
      </c>
      <c r="BL107" s="373">
        <v>0</v>
      </c>
      <c r="BM107" s="373">
        <v>0</v>
      </c>
      <c r="BN107" s="373">
        <v>0</v>
      </c>
      <c r="BO107" s="373">
        <v>0</v>
      </c>
      <c r="BP107" s="373">
        <v>0</v>
      </c>
      <c r="BQ107" s="373">
        <v>0</v>
      </c>
      <c r="BR107" s="373">
        <v>0</v>
      </c>
      <c r="BS107" s="373">
        <v>0</v>
      </c>
      <c r="BT107" s="373">
        <v>0</v>
      </c>
      <c r="BU107" s="373">
        <v>0</v>
      </c>
      <c r="BV107" s="373">
        <v>0</v>
      </c>
      <c r="BW107" s="373">
        <v>0</v>
      </c>
      <c r="BX107" s="373">
        <v>0</v>
      </c>
      <c r="BY107" s="373">
        <v>0</v>
      </c>
      <c r="BZ107" s="373">
        <v>0</v>
      </c>
      <c r="CA107" s="373">
        <v>0</v>
      </c>
      <c r="CB107" s="373">
        <v>0</v>
      </c>
      <c r="CC107" s="373">
        <v>0</v>
      </c>
      <c r="CD107" s="373">
        <v>0</v>
      </c>
      <c r="CE107" s="373">
        <v>0</v>
      </c>
      <c r="CF107" s="373">
        <v>0</v>
      </c>
      <c r="CG107" s="373">
        <v>0</v>
      </c>
      <c r="CH107" s="373">
        <v>0</v>
      </c>
      <c r="CI107" s="373">
        <v>0</v>
      </c>
      <c r="CJ107" s="373">
        <v>0</v>
      </c>
      <c r="CK107" s="373">
        <v>0</v>
      </c>
      <c r="CL107" s="373">
        <v>0</v>
      </c>
      <c r="CM107" s="373">
        <v>0</v>
      </c>
      <c r="CN107" s="373">
        <v>0</v>
      </c>
      <c r="CO107" s="373">
        <v>0</v>
      </c>
      <c r="CP107" s="373">
        <v>0</v>
      </c>
      <c r="CQ107" s="373">
        <v>0</v>
      </c>
      <c r="CR107" s="373">
        <v>0</v>
      </c>
      <c r="CS107" s="365">
        <v>0</v>
      </c>
      <c r="CT107" s="373">
        <v>0</v>
      </c>
      <c r="CU107" s="373">
        <v>0</v>
      </c>
      <c r="CV107" s="373">
        <v>0</v>
      </c>
      <c r="CW107" s="373">
        <v>0</v>
      </c>
      <c r="CX107" s="373">
        <v>0</v>
      </c>
      <c r="CY107" s="373">
        <v>0</v>
      </c>
      <c r="CZ107" s="373">
        <v>0</v>
      </c>
      <c r="DA107" s="373">
        <v>0</v>
      </c>
      <c r="DB107" s="373">
        <v>0</v>
      </c>
      <c r="DC107" s="373">
        <v>0</v>
      </c>
      <c r="DD107" s="373">
        <v>0</v>
      </c>
      <c r="DE107" s="373">
        <v>0</v>
      </c>
      <c r="DF107" s="373">
        <v>0</v>
      </c>
      <c r="DG107" s="373">
        <v>0</v>
      </c>
      <c r="DH107" s="373">
        <v>0</v>
      </c>
      <c r="DI107" s="373">
        <v>0</v>
      </c>
      <c r="DJ107" s="373">
        <v>0</v>
      </c>
      <c r="DK107" s="373">
        <v>0</v>
      </c>
      <c r="DL107" s="373">
        <v>0</v>
      </c>
      <c r="DM107" s="373">
        <v>0</v>
      </c>
      <c r="DN107" s="373">
        <v>0</v>
      </c>
      <c r="DO107" s="373">
        <v>0</v>
      </c>
      <c r="DP107" s="373">
        <v>0</v>
      </c>
      <c r="DQ107" s="373">
        <v>0</v>
      </c>
      <c r="DR107" s="373">
        <v>0</v>
      </c>
      <c r="DS107" s="365">
        <v>0</v>
      </c>
      <c r="DT107" s="374">
        <f t="shared" si="64"/>
        <v>66056.45</v>
      </c>
      <c r="DU107" s="375">
        <f t="shared" si="65"/>
        <v>0</v>
      </c>
      <c r="DV107" s="376"/>
      <c r="DW107" s="138" t="b">
        <f t="shared" si="66"/>
        <v>1</v>
      </c>
    </row>
    <row r="108" spans="1:127" s="138" customFormat="1" ht="11.25" customHeight="1">
      <c r="A108" s="169" t="s">
        <v>473</v>
      </c>
      <c r="B108" s="170"/>
      <c r="C108" s="171" t="s">
        <v>282</v>
      </c>
      <c r="D108" s="171"/>
      <c r="E108" s="365">
        <f t="shared" si="53"/>
        <v>64.61</v>
      </c>
      <c r="F108" s="365">
        <f t="shared" si="54"/>
        <v>0</v>
      </c>
      <c r="G108" s="365">
        <f t="shared" si="52"/>
        <v>64.61</v>
      </c>
      <c r="H108" s="365">
        <f t="shared" si="55"/>
        <v>0</v>
      </c>
      <c r="I108" s="365">
        <f t="shared" si="67"/>
        <v>149.1</v>
      </c>
      <c r="J108" s="366">
        <f t="shared" si="57"/>
        <v>0</v>
      </c>
      <c r="K108" s="378" t="s">
        <v>474</v>
      </c>
      <c r="L108" s="378" t="s">
        <v>329</v>
      </c>
      <c r="M108" s="365">
        <v>5000</v>
      </c>
      <c r="N108" s="379">
        <f t="shared" si="56"/>
        <v>945</v>
      </c>
      <c r="O108" s="385">
        <f t="shared" si="58"/>
        <v>66056.45</v>
      </c>
      <c r="P108" s="370">
        <f t="shared" si="59"/>
        <v>1022.3874013310633</v>
      </c>
      <c r="Q108" s="172">
        <v>0.01</v>
      </c>
      <c r="R108" s="371">
        <f t="shared" si="60"/>
        <v>660.56449999999995</v>
      </c>
      <c r="S108" s="172">
        <v>0.04</v>
      </c>
      <c r="T108" s="371">
        <f t="shared" si="61"/>
        <v>2642.2579999999998</v>
      </c>
      <c r="U108" s="372">
        <f t="shared" si="62"/>
        <v>5</v>
      </c>
      <c r="V108" s="172">
        <v>0.95</v>
      </c>
      <c r="W108" s="371">
        <f t="shared" si="63"/>
        <v>62753.627499999995</v>
      </c>
      <c r="X108" s="373"/>
      <c r="Y108" s="373"/>
      <c r="Z108" s="373"/>
      <c r="AA108" s="373"/>
      <c r="AB108" s="373"/>
      <c r="AC108" s="373"/>
      <c r="AD108" s="373"/>
      <c r="AE108" s="373"/>
      <c r="AF108" s="373"/>
      <c r="AG108" s="373"/>
      <c r="AH108" s="373"/>
      <c r="AI108" s="373">
        <f>+$R108</f>
        <v>660.56449999999995</v>
      </c>
      <c r="AJ108" s="373">
        <f>+$T108/5</f>
        <v>528.45159999999998</v>
      </c>
      <c r="AK108" s="373">
        <f>+$T108/5</f>
        <v>528.45159999999998</v>
      </c>
      <c r="AL108" s="373">
        <f>+$T108/5</f>
        <v>528.45159999999998</v>
      </c>
      <c r="AM108" s="373">
        <f>+$T108/5</f>
        <v>528.45159999999998</v>
      </c>
      <c r="AN108" s="373">
        <f>+$T108/5</f>
        <v>528.45159999999998</v>
      </c>
      <c r="AO108" s="373">
        <f>+$W108</f>
        <v>62753.627499999995</v>
      </c>
      <c r="AP108" s="373">
        <v>0</v>
      </c>
      <c r="AQ108" s="373">
        <v>0</v>
      </c>
      <c r="AR108" s="373">
        <v>0</v>
      </c>
      <c r="AS108" s="373">
        <v>0</v>
      </c>
      <c r="AT108" s="373">
        <v>0</v>
      </c>
      <c r="AU108" s="373">
        <v>0</v>
      </c>
      <c r="AV108" s="373">
        <v>0</v>
      </c>
      <c r="AW108" s="373">
        <v>0</v>
      </c>
      <c r="AX108" s="373">
        <v>0</v>
      </c>
      <c r="AY108" s="373">
        <v>0</v>
      </c>
      <c r="AZ108" s="373">
        <v>0</v>
      </c>
      <c r="BA108" s="373">
        <v>0</v>
      </c>
      <c r="BB108" s="373">
        <v>0</v>
      </c>
      <c r="BC108" s="373">
        <v>0</v>
      </c>
      <c r="BD108" s="373">
        <v>0</v>
      </c>
      <c r="BE108" s="373">
        <v>0</v>
      </c>
      <c r="BF108" s="373">
        <v>0</v>
      </c>
      <c r="BG108" s="373">
        <v>0</v>
      </c>
      <c r="BH108" s="373">
        <v>0</v>
      </c>
      <c r="BI108" s="373">
        <v>0</v>
      </c>
      <c r="BJ108" s="373">
        <v>0</v>
      </c>
      <c r="BK108" s="373">
        <v>0</v>
      </c>
      <c r="BL108" s="373">
        <v>0</v>
      </c>
      <c r="BM108" s="373">
        <v>0</v>
      </c>
      <c r="BN108" s="373">
        <v>0</v>
      </c>
      <c r="BO108" s="373">
        <v>0</v>
      </c>
      <c r="BP108" s="373">
        <v>0</v>
      </c>
      <c r="BQ108" s="373">
        <v>0</v>
      </c>
      <c r="BR108" s="373">
        <v>0</v>
      </c>
      <c r="BS108" s="373">
        <v>0</v>
      </c>
      <c r="BT108" s="373">
        <v>0</v>
      </c>
      <c r="BU108" s="373">
        <v>0</v>
      </c>
      <c r="BV108" s="373">
        <v>0</v>
      </c>
      <c r="BW108" s="373">
        <v>0</v>
      </c>
      <c r="BX108" s="373">
        <v>0</v>
      </c>
      <c r="BY108" s="373">
        <v>0</v>
      </c>
      <c r="BZ108" s="373">
        <v>0</v>
      </c>
      <c r="CA108" s="373">
        <v>0</v>
      </c>
      <c r="CB108" s="373">
        <v>0</v>
      </c>
      <c r="CC108" s="373">
        <v>0</v>
      </c>
      <c r="CD108" s="373">
        <v>0</v>
      </c>
      <c r="CE108" s="373">
        <v>0</v>
      </c>
      <c r="CF108" s="373">
        <v>0</v>
      </c>
      <c r="CG108" s="373">
        <v>0</v>
      </c>
      <c r="CH108" s="373">
        <v>0</v>
      </c>
      <c r="CI108" s="373">
        <v>0</v>
      </c>
      <c r="CJ108" s="373">
        <v>0</v>
      </c>
      <c r="CK108" s="373">
        <v>0</v>
      </c>
      <c r="CL108" s="373">
        <v>0</v>
      </c>
      <c r="CM108" s="373">
        <v>0</v>
      </c>
      <c r="CN108" s="373">
        <v>0</v>
      </c>
      <c r="CO108" s="373">
        <v>0</v>
      </c>
      <c r="CP108" s="373">
        <v>0</v>
      </c>
      <c r="CQ108" s="373">
        <v>0</v>
      </c>
      <c r="CR108" s="373">
        <v>0</v>
      </c>
      <c r="CS108" s="365">
        <v>0</v>
      </c>
      <c r="CT108" s="373">
        <v>0</v>
      </c>
      <c r="CU108" s="373">
        <v>0</v>
      </c>
      <c r="CV108" s="373">
        <v>0</v>
      </c>
      <c r="CW108" s="373">
        <v>0</v>
      </c>
      <c r="CX108" s="373">
        <v>0</v>
      </c>
      <c r="CY108" s="373">
        <v>0</v>
      </c>
      <c r="CZ108" s="373">
        <v>0</v>
      </c>
      <c r="DA108" s="373">
        <v>0</v>
      </c>
      <c r="DB108" s="373">
        <v>0</v>
      </c>
      <c r="DC108" s="373">
        <v>0</v>
      </c>
      <c r="DD108" s="373">
        <v>0</v>
      </c>
      <c r="DE108" s="373">
        <v>0</v>
      </c>
      <c r="DF108" s="373">
        <v>0</v>
      </c>
      <c r="DG108" s="373">
        <v>0</v>
      </c>
      <c r="DH108" s="373">
        <v>0</v>
      </c>
      <c r="DI108" s="373">
        <v>0</v>
      </c>
      <c r="DJ108" s="373">
        <v>0</v>
      </c>
      <c r="DK108" s="373">
        <v>0</v>
      </c>
      <c r="DL108" s="373">
        <v>0</v>
      </c>
      <c r="DM108" s="373">
        <v>0</v>
      </c>
      <c r="DN108" s="373">
        <v>0</v>
      </c>
      <c r="DO108" s="373">
        <v>0</v>
      </c>
      <c r="DP108" s="373">
        <v>0</v>
      </c>
      <c r="DQ108" s="373">
        <v>0</v>
      </c>
      <c r="DR108" s="373">
        <v>0</v>
      </c>
      <c r="DS108" s="365">
        <v>0</v>
      </c>
      <c r="DT108" s="374">
        <f t="shared" si="64"/>
        <v>66056.45</v>
      </c>
      <c r="DU108" s="375">
        <f t="shared" si="65"/>
        <v>0</v>
      </c>
      <c r="DV108" s="376"/>
      <c r="DW108" s="138" t="b">
        <f t="shared" si="66"/>
        <v>1</v>
      </c>
    </row>
    <row r="109" spans="1:127" s="138" customFormat="1" ht="12" customHeight="1">
      <c r="A109" s="169" t="s">
        <v>475</v>
      </c>
      <c r="B109" s="170"/>
      <c r="C109" s="171" t="s">
        <v>282</v>
      </c>
      <c r="D109" s="171"/>
      <c r="E109" s="365">
        <f t="shared" si="53"/>
        <v>64.61</v>
      </c>
      <c r="F109" s="365">
        <f t="shared" si="54"/>
        <v>0</v>
      </c>
      <c r="G109" s="365">
        <f t="shared" si="52"/>
        <v>64.61</v>
      </c>
      <c r="H109" s="365">
        <f t="shared" si="55"/>
        <v>0</v>
      </c>
      <c r="I109" s="365">
        <f t="shared" si="67"/>
        <v>149.1</v>
      </c>
      <c r="J109" s="366">
        <f t="shared" si="57"/>
        <v>0</v>
      </c>
      <c r="K109" s="378" t="s">
        <v>476</v>
      </c>
      <c r="L109" s="378" t="s">
        <v>329</v>
      </c>
      <c r="M109" s="365">
        <v>5000</v>
      </c>
      <c r="N109" s="379">
        <f t="shared" si="56"/>
        <v>945</v>
      </c>
      <c r="O109" s="385">
        <f t="shared" si="58"/>
        <v>66056.45</v>
      </c>
      <c r="P109" s="370">
        <f t="shared" si="59"/>
        <v>1022.3874013310633</v>
      </c>
      <c r="Q109" s="172">
        <v>0.01</v>
      </c>
      <c r="R109" s="371">
        <f t="shared" si="60"/>
        <v>660.56449999999995</v>
      </c>
      <c r="S109" s="172">
        <v>0.04</v>
      </c>
      <c r="T109" s="371">
        <f t="shared" si="61"/>
        <v>2642.2579999999998</v>
      </c>
      <c r="U109" s="372">
        <f t="shared" si="62"/>
        <v>3</v>
      </c>
      <c r="V109" s="172">
        <v>0.95</v>
      </c>
      <c r="W109" s="371">
        <f t="shared" si="63"/>
        <v>62753.627499999995</v>
      </c>
      <c r="X109" s="373"/>
      <c r="Y109" s="373"/>
      <c r="Z109" s="373"/>
      <c r="AA109" s="373"/>
      <c r="AB109" s="373"/>
      <c r="AC109" s="373"/>
      <c r="AD109" s="373"/>
      <c r="AE109" s="373"/>
      <c r="AF109" s="373"/>
      <c r="AG109" s="373"/>
      <c r="AH109" s="373"/>
      <c r="AI109" s="373"/>
      <c r="AJ109" s="373">
        <f>+$R109</f>
        <v>660.56449999999995</v>
      </c>
      <c r="AK109" s="373">
        <f>+$T109/3</f>
        <v>880.75266666666664</v>
      </c>
      <c r="AL109" s="373">
        <f>+$T109/3</f>
        <v>880.75266666666664</v>
      </c>
      <c r="AM109" s="373">
        <f>+$T109/3</f>
        <v>880.75266666666664</v>
      </c>
      <c r="AN109" s="373">
        <f>+$W109</f>
        <v>62753.627499999995</v>
      </c>
      <c r="AO109" s="373">
        <v>0</v>
      </c>
      <c r="AP109" s="373">
        <v>0</v>
      </c>
      <c r="AQ109" s="373">
        <v>0</v>
      </c>
      <c r="AR109" s="373">
        <v>0</v>
      </c>
      <c r="AS109" s="373">
        <v>0</v>
      </c>
      <c r="AT109" s="373">
        <v>0</v>
      </c>
      <c r="AU109" s="373">
        <v>0</v>
      </c>
      <c r="AV109" s="373">
        <v>0</v>
      </c>
      <c r="AW109" s="373">
        <v>0</v>
      </c>
      <c r="AX109" s="373">
        <v>0</v>
      </c>
      <c r="AY109" s="373">
        <v>0</v>
      </c>
      <c r="AZ109" s="373">
        <v>0</v>
      </c>
      <c r="BA109" s="373">
        <v>0</v>
      </c>
      <c r="BB109" s="373">
        <v>0</v>
      </c>
      <c r="BC109" s="373">
        <v>0</v>
      </c>
      <c r="BD109" s="373">
        <v>0</v>
      </c>
      <c r="BE109" s="373">
        <v>0</v>
      </c>
      <c r="BF109" s="373">
        <v>0</v>
      </c>
      <c r="BG109" s="373">
        <v>0</v>
      </c>
      <c r="BH109" s="373">
        <v>0</v>
      </c>
      <c r="BI109" s="373">
        <v>0</v>
      </c>
      <c r="BJ109" s="373">
        <v>0</v>
      </c>
      <c r="BK109" s="373">
        <v>0</v>
      </c>
      <c r="BL109" s="373">
        <v>0</v>
      </c>
      <c r="BM109" s="373">
        <v>0</v>
      </c>
      <c r="BN109" s="373">
        <v>0</v>
      </c>
      <c r="BO109" s="373">
        <v>0</v>
      </c>
      <c r="BP109" s="373">
        <v>0</v>
      </c>
      <c r="BQ109" s="373">
        <v>0</v>
      </c>
      <c r="BR109" s="373">
        <v>0</v>
      </c>
      <c r="BS109" s="373">
        <v>0</v>
      </c>
      <c r="BT109" s="373">
        <v>0</v>
      </c>
      <c r="BU109" s="373">
        <v>0</v>
      </c>
      <c r="BV109" s="373">
        <v>0</v>
      </c>
      <c r="BW109" s="373">
        <v>0</v>
      </c>
      <c r="BX109" s="373">
        <v>0</v>
      </c>
      <c r="BY109" s="373">
        <v>0</v>
      </c>
      <c r="BZ109" s="373">
        <v>0</v>
      </c>
      <c r="CA109" s="373">
        <v>0</v>
      </c>
      <c r="CB109" s="373">
        <v>0</v>
      </c>
      <c r="CC109" s="373">
        <v>0</v>
      </c>
      <c r="CD109" s="373">
        <v>0</v>
      </c>
      <c r="CE109" s="373">
        <v>0</v>
      </c>
      <c r="CF109" s="373">
        <v>0</v>
      </c>
      <c r="CG109" s="373">
        <v>0</v>
      </c>
      <c r="CH109" s="373">
        <v>0</v>
      </c>
      <c r="CI109" s="373">
        <v>0</v>
      </c>
      <c r="CJ109" s="373">
        <v>0</v>
      </c>
      <c r="CK109" s="373">
        <v>0</v>
      </c>
      <c r="CL109" s="373">
        <v>0</v>
      </c>
      <c r="CM109" s="373">
        <v>0</v>
      </c>
      <c r="CN109" s="373">
        <v>0</v>
      </c>
      <c r="CO109" s="373">
        <v>0</v>
      </c>
      <c r="CP109" s="373">
        <v>0</v>
      </c>
      <c r="CQ109" s="373">
        <v>0</v>
      </c>
      <c r="CR109" s="373">
        <v>0</v>
      </c>
      <c r="CS109" s="365">
        <v>0</v>
      </c>
      <c r="CT109" s="373">
        <v>0</v>
      </c>
      <c r="CU109" s="373">
        <v>0</v>
      </c>
      <c r="CV109" s="373">
        <v>0</v>
      </c>
      <c r="CW109" s="373">
        <v>0</v>
      </c>
      <c r="CX109" s="373">
        <v>0</v>
      </c>
      <c r="CY109" s="373">
        <v>0</v>
      </c>
      <c r="CZ109" s="373">
        <v>0</v>
      </c>
      <c r="DA109" s="373">
        <v>0</v>
      </c>
      <c r="DB109" s="373">
        <v>0</v>
      </c>
      <c r="DC109" s="373">
        <v>0</v>
      </c>
      <c r="DD109" s="373">
        <v>0</v>
      </c>
      <c r="DE109" s="373">
        <v>0</v>
      </c>
      <c r="DF109" s="373">
        <v>0</v>
      </c>
      <c r="DG109" s="373">
        <v>0</v>
      </c>
      <c r="DH109" s="373">
        <v>0</v>
      </c>
      <c r="DI109" s="373">
        <v>0</v>
      </c>
      <c r="DJ109" s="373">
        <v>0</v>
      </c>
      <c r="DK109" s="373">
        <v>0</v>
      </c>
      <c r="DL109" s="373">
        <v>0</v>
      </c>
      <c r="DM109" s="373">
        <v>0</v>
      </c>
      <c r="DN109" s="373">
        <v>0</v>
      </c>
      <c r="DO109" s="373">
        <v>0</v>
      </c>
      <c r="DP109" s="373">
        <v>0</v>
      </c>
      <c r="DQ109" s="373">
        <v>0</v>
      </c>
      <c r="DR109" s="373">
        <v>0</v>
      </c>
      <c r="DS109" s="365">
        <v>0</v>
      </c>
      <c r="DT109" s="374">
        <f t="shared" si="64"/>
        <v>66056.45</v>
      </c>
      <c r="DU109" s="375">
        <f t="shared" si="65"/>
        <v>0</v>
      </c>
      <c r="DV109" s="376"/>
      <c r="DW109" s="138" t="b">
        <f t="shared" si="66"/>
        <v>1</v>
      </c>
    </row>
    <row r="110" spans="1:127" s="138" customFormat="1" ht="12" customHeight="1">
      <c r="A110" s="169" t="s">
        <v>477</v>
      </c>
      <c r="B110" s="170"/>
      <c r="C110" s="171" t="s">
        <v>282</v>
      </c>
      <c r="D110" s="171"/>
      <c r="E110" s="365">
        <f t="shared" si="53"/>
        <v>64.61</v>
      </c>
      <c r="F110" s="365">
        <f t="shared" si="54"/>
        <v>0</v>
      </c>
      <c r="G110" s="365">
        <f t="shared" si="52"/>
        <v>64.61</v>
      </c>
      <c r="H110" s="365">
        <f t="shared" si="55"/>
        <v>0</v>
      </c>
      <c r="I110" s="365">
        <f t="shared" si="67"/>
        <v>149.1</v>
      </c>
      <c r="J110" s="366">
        <f t="shared" si="57"/>
        <v>0</v>
      </c>
      <c r="K110" s="378" t="s">
        <v>478</v>
      </c>
      <c r="L110" s="378" t="s">
        <v>329</v>
      </c>
      <c r="M110" s="365">
        <v>5000</v>
      </c>
      <c r="N110" s="379">
        <f t="shared" si="56"/>
        <v>945</v>
      </c>
      <c r="O110" s="385">
        <f t="shared" si="58"/>
        <v>66056.45</v>
      </c>
      <c r="P110" s="370">
        <f t="shared" si="59"/>
        <v>1022.3874013310633</v>
      </c>
      <c r="Q110" s="172">
        <v>0.01</v>
      </c>
      <c r="R110" s="371">
        <f t="shared" si="60"/>
        <v>660.56449999999995</v>
      </c>
      <c r="S110" s="172">
        <v>0.04</v>
      </c>
      <c r="T110" s="371">
        <f t="shared" si="61"/>
        <v>2642.2579999999998</v>
      </c>
      <c r="U110" s="372">
        <f t="shared" si="62"/>
        <v>1</v>
      </c>
      <c r="V110" s="172">
        <v>0.95</v>
      </c>
      <c r="W110" s="371">
        <f t="shared" si="63"/>
        <v>62753.627499999995</v>
      </c>
      <c r="X110" s="373"/>
      <c r="Y110" s="373"/>
      <c r="Z110" s="373"/>
      <c r="AA110" s="373"/>
      <c r="AB110" s="373"/>
      <c r="AC110" s="373"/>
      <c r="AD110" s="373"/>
      <c r="AE110" s="373"/>
      <c r="AF110" s="373"/>
      <c r="AG110" s="373"/>
      <c r="AH110" s="373"/>
      <c r="AI110" s="373"/>
      <c r="AJ110" s="373">
        <f>+$R110</f>
        <v>660.56449999999995</v>
      </c>
      <c r="AK110" s="373">
        <f>+$T110/1</f>
        <v>2642.2579999999998</v>
      </c>
      <c r="AL110" s="373">
        <f>+$W110</f>
        <v>62753.627499999995</v>
      </c>
      <c r="AM110" s="373">
        <v>0</v>
      </c>
      <c r="AN110" s="373">
        <v>0</v>
      </c>
      <c r="AO110" s="373">
        <v>0</v>
      </c>
      <c r="AP110" s="373">
        <v>0</v>
      </c>
      <c r="AQ110" s="373">
        <v>0</v>
      </c>
      <c r="AR110" s="373">
        <v>0</v>
      </c>
      <c r="AS110" s="373">
        <v>0</v>
      </c>
      <c r="AT110" s="373">
        <v>0</v>
      </c>
      <c r="AU110" s="373">
        <v>0</v>
      </c>
      <c r="AV110" s="373">
        <v>0</v>
      </c>
      <c r="AW110" s="373">
        <v>0</v>
      </c>
      <c r="AX110" s="373">
        <v>0</v>
      </c>
      <c r="AY110" s="373">
        <v>0</v>
      </c>
      <c r="AZ110" s="373">
        <v>0</v>
      </c>
      <c r="BA110" s="373">
        <v>0</v>
      </c>
      <c r="BB110" s="373">
        <v>0</v>
      </c>
      <c r="BC110" s="373">
        <v>0</v>
      </c>
      <c r="BD110" s="373">
        <v>0</v>
      </c>
      <c r="BE110" s="373">
        <v>0</v>
      </c>
      <c r="BF110" s="373">
        <v>0</v>
      </c>
      <c r="BG110" s="373">
        <v>0</v>
      </c>
      <c r="BH110" s="373">
        <v>0</v>
      </c>
      <c r="BI110" s="373">
        <v>0</v>
      </c>
      <c r="BJ110" s="373">
        <v>0</v>
      </c>
      <c r="BK110" s="373">
        <v>0</v>
      </c>
      <c r="BL110" s="373">
        <v>0</v>
      </c>
      <c r="BM110" s="373">
        <v>0</v>
      </c>
      <c r="BN110" s="373">
        <v>0</v>
      </c>
      <c r="BO110" s="373">
        <v>0</v>
      </c>
      <c r="BP110" s="373">
        <v>0</v>
      </c>
      <c r="BQ110" s="373">
        <v>0</v>
      </c>
      <c r="BR110" s="373">
        <v>0</v>
      </c>
      <c r="BS110" s="373">
        <v>0</v>
      </c>
      <c r="BT110" s="373">
        <v>0</v>
      </c>
      <c r="BU110" s="373">
        <v>0</v>
      </c>
      <c r="BV110" s="373">
        <v>0</v>
      </c>
      <c r="BW110" s="373">
        <v>0</v>
      </c>
      <c r="BX110" s="373">
        <v>0</v>
      </c>
      <c r="BY110" s="373">
        <v>0</v>
      </c>
      <c r="BZ110" s="373">
        <v>0</v>
      </c>
      <c r="CA110" s="373">
        <v>0</v>
      </c>
      <c r="CB110" s="373">
        <v>0</v>
      </c>
      <c r="CC110" s="373">
        <v>0</v>
      </c>
      <c r="CD110" s="373">
        <v>0</v>
      </c>
      <c r="CE110" s="373">
        <v>0</v>
      </c>
      <c r="CF110" s="373">
        <v>0</v>
      </c>
      <c r="CG110" s="373">
        <v>0</v>
      </c>
      <c r="CH110" s="373">
        <v>0</v>
      </c>
      <c r="CI110" s="373">
        <v>0</v>
      </c>
      <c r="CJ110" s="373">
        <v>0</v>
      </c>
      <c r="CK110" s="373">
        <v>0</v>
      </c>
      <c r="CL110" s="373">
        <v>0</v>
      </c>
      <c r="CM110" s="373">
        <v>0</v>
      </c>
      <c r="CN110" s="373">
        <v>0</v>
      </c>
      <c r="CO110" s="373">
        <v>0</v>
      </c>
      <c r="CP110" s="373">
        <v>0</v>
      </c>
      <c r="CQ110" s="373">
        <v>0</v>
      </c>
      <c r="CR110" s="373">
        <v>0</v>
      </c>
      <c r="CS110" s="365">
        <v>0</v>
      </c>
      <c r="CT110" s="373">
        <v>0</v>
      </c>
      <c r="CU110" s="373">
        <v>0</v>
      </c>
      <c r="CV110" s="373">
        <v>0</v>
      </c>
      <c r="CW110" s="373">
        <v>0</v>
      </c>
      <c r="CX110" s="373">
        <v>0</v>
      </c>
      <c r="CY110" s="373">
        <v>0</v>
      </c>
      <c r="CZ110" s="373">
        <v>0</v>
      </c>
      <c r="DA110" s="373">
        <v>0</v>
      </c>
      <c r="DB110" s="373">
        <v>0</v>
      </c>
      <c r="DC110" s="373">
        <v>0</v>
      </c>
      <c r="DD110" s="373">
        <v>0</v>
      </c>
      <c r="DE110" s="373">
        <v>0</v>
      </c>
      <c r="DF110" s="373">
        <v>0</v>
      </c>
      <c r="DG110" s="373">
        <v>0</v>
      </c>
      <c r="DH110" s="373">
        <v>0</v>
      </c>
      <c r="DI110" s="373">
        <v>0</v>
      </c>
      <c r="DJ110" s="373">
        <v>0</v>
      </c>
      <c r="DK110" s="373">
        <v>0</v>
      </c>
      <c r="DL110" s="373">
        <v>0</v>
      </c>
      <c r="DM110" s="373">
        <v>0</v>
      </c>
      <c r="DN110" s="373">
        <v>0</v>
      </c>
      <c r="DO110" s="373">
        <v>0</v>
      </c>
      <c r="DP110" s="373">
        <v>0</v>
      </c>
      <c r="DQ110" s="373">
        <v>0</v>
      </c>
      <c r="DR110" s="373">
        <v>0</v>
      </c>
      <c r="DS110" s="365">
        <v>0</v>
      </c>
      <c r="DT110" s="374">
        <f t="shared" si="64"/>
        <v>66056.45</v>
      </c>
      <c r="DU110" s="375">
        <f t="shared" si="65"/>
        <v>0</v>
      </c>
      <c r="DV110" s="376"/>
      <c r="DW110" s="138" t="b">
        <f t="shared" si="66"/>
        <v>1</v>
      </c>
    </row>
    <row r="111" spans="1:127" s="138" customFormat="1" ht="12" customHeight="1">
      <c r="A111" s="169" t="s">
        <v>479</v>
      </c>
      <c r="B111" s="170"/>
      <c r="C111" s="171" t="s">
        <v>282</v>
      </c>
      <c r="D111" s="171"/>
      <c r="E111" s="365">
        <f t="shared" si="53"/>
        <v>64.61</v>
      </c>
      <c r="F111" s="365">
        <f t="shared" si="54"/>
        <v>0</v>
      </c>
      <c r="G111" s="365">
        <f t="shared" si="52"/>
        <v>64.61</v>
      </c>
      <c r="H111" s="365">
        <f t="shared" si="55"/>
        <v>0</v>
      </c>
      <c r="I111" s="365">
        <f t="shared" si="67"/>
        <v>149.1</v>
      </c>
      <c r="J111" s="366">
        <f t="shared" si="57"/>
        <v>0</v>
      </c>
      <c r="K111" s="378"/>
      <c r="L111" s="378"/>
      <c r="M111" s="365"/>
      <c r="N111" s="379">
        <f t="shared" si="56"/>
        <v>945</v>
      </c>
      <c r="O111" s="382">
        <f t="shared" si="58"/>
        <v>61056.45</v>
      </c>
      <c r="P111" s="370">
        <f t="shared" si="59"/>
        <v>945</v>
      </c>
      <c r="Q111" s="172">
        <v>0.01</v>
      </c>
      <c r="R111" s="371">
        <f t="shared" si="60"/>
        <v>610.56449999999995</v>
      </c>
      <c r="S111" s="172">
        <v>0.04</v>
      </c>
      <c r="T111" s="371">
        <f t="shared" si="61"/>
        <v>2442.2579999999998</v>
      </c>
      <c r="U111" s="372">
        <f t="shared" si="62"/>
        <v>5</v>
      </c>
      <c r="V111" s="172">
        <v>0.95</v>
      </c>
      <c r="W111" s="371">
        <f t="shared" si="63"/>
        <v>58003.627499999995</v>
      </c>
      <c r="X111" s="373"/>
      <c r="Y111" s="373"/>
      <c r="Z111" s="373"/>
      <c r="AA111" s="373"/>
      <c r="AB111" s="373"/>
      <c r="AC111" s="373"/>
      <c r="AD111" s="373"/>
      <c r="AE111" s="373"/>
      <c r="AF111" s="373"/>
      <c r="AG111" s="373"/>
      <c r="AH111" s="373"/>
      <c r="AI111" s="373"/>
      <c r="AJ111" s="373">
        <f>+$R111</f>
        <v>610.56449999999995</v>
      </c>
      <c r="AK111" s="373">
        <f>+$T111/5</f>
        <v>488.45159999999998</v>
      </c>
      <c r="AL111" s="373">
        <f>+$T111/5</f>
        <v>488.45159999999998</v>
      </c>
      <c r="AM111" s="373">
        <f>+$T111/5</f>
        <v>488.45159999999998</v>
      </c>
      <c r="AN111" s="373">
        <f>+$T111/5</f>
        <v>488.45159999999998</v>
      </c>
      <c r="AO111" s="373">
        <f>+$T111/5</f>
        <v>488.45159999999998</v>
      </c>
      <c r="AP111" s="373">
        <f>+$W111</f>
        <v>58003.627499999995</v>
      </c>
      <c r="AQ111" s="373">
        <v>0</v>
      </c>
      <c r="AR111" s="373">
        <v>0</v>
      </c>
      <c r="AS111" s="373">
        <v>0</v>
      </c>
      <c r="AT111" s="373">
        <v>0</v>
      </c>
      <c r="AU111" s="373">
        <v>0</v>
      </c>
      <c r="AV111" s="373">
        <v>0</v>
      </c>
      <c r="AW111" s="373">
        <v>0</v>
      </c>
      <c r="AX111" s="373">
        <v>0</v>
      </c>
      <c r="AY111" s="373">
        <v>0</v>
      </c>
      <c r="AZ111" s="373">
        <v>0</v>
      </c>
      <c r="BA111" s="373">
        <v>0</v>
      </c>
      <c r="BB111" s="373">
        <v>0</v>
      </c>
      <c r="BC111" s="373">
        <v>0</v>
      </c>
      <c r="BD111" s="373">
        <v>0</v>
      </c>
      <c r="BE111" s="373">
        <v>0</v>
      </c>
      <c r="BF111" s="373">
        <v>0</v>
      </c>
      <c r="BG111" s="373">
        <v>0</v>
      </c>
      <c r="BH111" s="373">
        <v>0</v>
      </c>
      <c r="BI111" s="373">
        <v>0</v>
      </c>
      <c r="BJ111" s="373">
        <v>0</v>
      </c>
      <c r="BK111" s="373">
        <v>0</v>
      </c>
      <c r="BL111" s="373">
        <v>0</v>
      </c>
      <c r="BM111" s="373">
        <v>0</v>
      </c>
      <c r="BN111" s="373">
        <v>0</v>
      </c>
      <c r="BO111" s="373">
        <v>0</v>
      </c>
      <c r="BP111" s="373">
        <v>0</v>
      </c>
      <c r="BQ111" s="373">
        <v>0</v>
      </c>
      <c r="BR111" s="373">
        <v>0</v>
      </c>
      <c r="BS111" s="373">
        <v>0</v>
      </c>
      <c r="BT111" s="373">
        <v>0</v>
      </c>
      <c r="BU111" s="373">
        <v>0</v>
      </c>
      <c r="BV111" s="373">
        <v>0</v>
      </c>
      <c r="BW111" s="373">
        <v>0</v>
      </c>
      <c r="BX111" s="373">
        <v>0</v>
      </c>
      <c r="BY111" s="373">
        <v>0</v>
      </c>
      <c r="BZ111" s="373">
        <v>0</v>
      </c>
      <c r="CA111" s="373">
        <v>0</v>
      </c>
      <c r="CB111" s="373">
        <v>0</v>
      </c>
      <c r="CC111" s="373">
        <v>0</v>
      </c>
      <c r="CD111" s="373">
        <v>0</v>
      </c>
      <c r="CE111" s="373">
        <v>0</v>
      </c>
      <c r="CF111" s="373">
        <v>0</v>
      </c>
      <c r="CG111" s="373">
        <v>0</v>
      </c>
      <c r="CH111" s="373">
        <v>0</v>
      </c>
      <c r="CI111" s="373">
        <v>0</v>
      </c>
      <c r="CJ111" s="373">
        <v>0</v>
      </c>
      <c r="CK111" s="373">
        <v>0</v>
      </c>
      <c r="CL111" s="373">
        <v>0</v>
      </c>
      <c r="CM111" s="373">
        <v>0</v>
      </c>
      <c r="CN111" s="373">
        <v>0</v>
      </c>
      <c r="CO111" s="373">
        <v>0</v>
      </c>
      <c r="CP111" s="373">
        <v>0</v>
      </c>
      <c r="CQ111" s="373">
        <v>0</v>
      </c>
      <c r="CR111" s="373">
        <v>0</v>
      </c>
      <c r="CS111" s="365">
        <v>0</v>
      </c>
      <c r="CT111" s="373">
        <v>0</v>
      </c>
      <c r="CU111" s="373">
        <v>0</v>
      </c>
      <c r="CV111" s="373">
        <v>0</v>
      </c>
      <c r="CW111" s="373">
        <v>0</v>
      </c>
      <c r="CX111" s="373">
        <v>0</v>
      </c>
      <c r="CY111" s="373">
        <v>0</v>
      </c>
      <c r="CZ111" s="373">
        <v>0</v>
      </c>
      <c r="DA111" s="373">
        <v>0</v>
      </c>
      <c r="DB111" s="373">
        <v>0</v>
      </c>
      <c r="DC111" s="373">
        <v>0</v>
      </c>
      <c r="DD111" s="373">
        <v>0</v>
      </c>
      <c r="DE111" s="373">
        <v>0</v>
      </c>
      <c r="DF111" s="373">
        <v>0</v>
      </c>
      <c r="DG111" s="373">
        <v>0</v>
      </c>
      <c r="DH111" s="373">
        <v>0</v>
      </c>
      <c r="DI111" s="373">
        <v>0</v>
      </c>
      <c r="DJ111" s="373">
        <v>0</v>
      </c>
      <c r="DK111" s="373">
        <v>0</v>
      </c>
      <c r="DL111" s="373">
        <v>0</v>
      </c>
      <c r="DM111" s="373">
        <v>0</v>
      </c>
      <c r="DN111" s="373">
        <v>0</v>
      </c>
      <c r="DO111" s="373">
        <v>0</v>
      </c>
      <c r="DP111" s="373">
        <v>0</v>
      </c>
      <c r="DQ111" s="373">
        <v>0</v>
      </c>
      <c r="DR111" s="373">
        <v>0</v>
      </c>
      <c r="DS111" s="365">
        <v>0</v>
      </c>
      <c r="DT111" s="374">
        <f t="shared" si="64"/>
        <v>61056.45</v>
      </c>
      <c r="DU111" s="375">
        <f t="shared" si="65"/>
        <v>0</v>
      </c>
      <c r="DV111" s="376"/>
      <c r="DW111" s="138" t="b">
        <f t="shared" si="66"/>
        <v>1</v>
      </c>
    </row>
    <row r="112" spans="1:127" s="138" customFormat="1" ht="12" customHeight="1">
      <c r="A112" s="169" t="s">
        <v>480</v>
      </c>
      <c r="B112" s="170"/>
      <c r="C112" s="171" t="s">
        <v>282</v>
      </c>
      <c r="D112" s="171"/>
      <c r="E112" s="365">
        <f t="shared" si="53"/>
        <v>64.61</v>
      </c>
      <c r="F112" s="365">
        <f t="shared" si="54"/>
        <v>0</v>
      </c>
      <c r="G112" s="365">
        <f t="shared" si="52"/>
        <v>64.61</v>
      </c>
      <c r="H112" s="365">
        <f t="shared" si="55"/>
        <v>0</v>
      </c>
      <c r="I112" s="365">
        <f t="shared" si="67"/>
        <v>149.1</v>
      </c>
      <c r="J112" s="366">
        <f t="shared" si="57"/>
        <v>0</v>
      </c>
      <c r="K112" s="378"/>
      <c r="L112" s="378"/>
      <c r="M112" s="365"/>
      <c r="N112" s="379">
        <f t="shared" si="56"/>
        <v>945</v>
      </c>
      <c r="O112" s="382">
        <f t="shared" si="58"/>
        <v>61056.45</v>
      </c>
      <c r="P112" s="370">
        <f t="shared" si="59"/>
        <v>945</v>
      </c>
      <c r="Q112" s="172">
        <v>0.01</v>
      </c>
      <c r="R112" s="371">
        <f t="shared" si="60"/>
        <v>610.56449999999995</v>
      </c>
      <c r="S112" s="172">
        <v>0.04</v>
      </c>
      <c r="T112" s="371">
        <f t="shared" si="61"/>
        <v>2442.2579999999998</v>
      </c>
      <c r="U112" s="372">
        <f t="shared" si="62"/>
        <v>3</v>
      </c>
      <c r="V112" s="172">
        <v>0.95</v>
      </c>
      <c r="W112" s="371">
        <f t="shared" si="63"/>
        <v>58003.627499999995</v>
      </c>
      <c r="X112" s="373"/>
      <c r="Y112" s="373"/>
      <c r="Z112" s="373"/>
      <c r="AA112" s="373"/>
      <c r="AB112" s="373"/>
      <c r="AC112" s="373"/>
      <c r="AD112" s="373"/>
      <c r="AE112" s="373"/>
      <c r="AF112" s="373"/>
      <c r="AG112" s="373"/>
      <c r="AH112" s="373"/>
      <c r="AI112" s="373"/>
      <c r="AJ112" s="373">
        <f>+$R112</f>
        <v>610.56449999999995</v>
      </c>
      <c r="AK112" s="373">
        <f>+$T112/3</f>
        <v>814.0859999999999</v>
      </c>
      <c r="AL112" s="373">
        <f>+$T112/3</f>
        <v>814.0859999999999</v>
      </c>
      <c r="AM112" s="373">
        <f>+$T112/3</f>
        <v>814.0859999999999</v>
      </c>
      <c r="AN112" s="373">
        <f>+$W112</f>
        <v>58003.627499999995</v>
      </c>
      <c r="AO112" s="373">
        <v>0</v>
      </c>
      <c r="AP112" s="373">
        <v>0</v>
      </c>
      <c r="AQ112" s="373">
        <v>0</v>
      </c>
      <c r="AR112" s="373">
        <v>0</v>
      </c>
      <c r="AS112" s="373">
        <v>0</v>
      </c>
      <c r="AT112" s="373">
        <v>0</v>
      </c>
      <c r="AU112" s="373">
        <v>0</v>
      </c>
      <c r="AV112" s="373">
        <v>0</v>
      </c>
      <c r="AW112" s="373">
        <v>0</v>
      </c>
      <c r="AX112" s="373">
        <v>0</v>
      </c>
      <c r="AY112" s="373">
        <v>0</v>
      </c>
      <c r="AZ112" s="373">
        <v>0</v>
      </c>
      <c r="BA112" s="373">
        <v>0</v>
      </c>
      <c r="BB112" s="373">
        <v>0</v>
      </c>
      <c r="BC112" s="373">
        <v>0</v>
      </c>
      <c r="BD112" s="373">
        <v>0</v>
      </c>
      <c r="BE112" s="373">
        <v>0</v>
      </c>
      <c r="BF112" s="373">
        <v>0</v>
      </c>
      <c r="BG112" s="373">
        <v>0</v>
      </c>
      <c r="BH112" s="373">
        <v>0</v>
      </c>
      <c r="BI112" s="373">
        <v>0</v>
      </c>
      <c r="BJ112" s="373">
        <v>0</v>
      </c>
      <c r="BK112" s="373">
        <v>0</v>
      </c>
      <c r="BL112" s="373">
        <v>0</v>
      </c>
      <c r="BM112" s="373">
        <v>0</v>
      </c>
      <c r="BN112" s="373">
        <v>0</v>
      </c>
      <c r="BO112" s="373">
        <v>0</v>
      </c>
      <c r="BP112" s="373">
        <v>0</v>
      </c>
      <c r="BQ112" s="373">
        <v>0</v>
      </c>
      <c r="BR112" s="373">
        <v>0</v>
      </c>
      <c r="BS112" s="373">
        <v>0</v>
      </c>
      <c r="BT112" s="373">
        <v>0</v>
      </c>
      <c r="BU112" s="373">
        <v>0</v>
      </c>
      <c r="BV112" s="373">
        <v>0</v>
      </c>
      <c r="BW112" s="373">
        <v>0</v>
      </c>
      <c r="BX112" s="373">
        <v>0</v>
      </c>
      <c r="BY112" s="373">
        <v>0</v>
      </c>
      <c r="BZ112" s="373">
        <v>0</v>
      </c>
      <c r="CA112" s="373">
        <v>0</v>
      </c>
      <c r="CB112" s="373">
        <v>0</v>
      </c>
      <c r="CC112" s="373">
        <v>0</v>
      </c>
      <c r="CD112" s="373">
        <v>0</v>
      </c>
      <c r="CE112" s="373">
        <v>0</v>
      </c>
      <c r="CF112" s="373">
        <v>0</v>
      </c>
      <c r="CG112" s="373">
        <v>0</v>
      </c>
      <c r="CH112" s="373">
        <v>0</v>
      </c>
      <c r="CI112" s="373">
        <v>0</v>
      </c>
      <c r="CJ112" s="373">
        <v>0</v>
      </c>
      <c r="CK112" s="373">
        <v>0</v>
      </c>
      <c r="CL112" s="373">
        <v>0</v>
      </c>
      <c r="CM112" s="373">
        <v>0</v>
      </c>
      <c r="CN112" s="373">
        <v>0</v>
      </c>
      <c r="CO112" s="373">
        <v>0</v>
      </c>
      <c r="CP112" s="373">
        <v>0</v>
      </c>
      <c r="CQ112" s="373">
        <v>0</v>
      </c>
      <c r="CR112" s="373">
        <v>0</v>
      </c>
      <c r="CS112" s="365">
        <v>0</v>
      </c>
      <c r="CT112" s="373">
        <v>0</v>
      </c>
      <c r="CU112" s="373">
        <v>0</v>
      </c>
      <c r="CV112" s="373">
        <v>0</v>
      </c>
      <c r="CW112" s="373">
        <v>0</v>
      </c>
      <c r="CX112" s="373">
        <v>0</v>
      </c>
      <c r="CY112" s="373">
        <v>0</v>
      </c>
      <c r="CZ112" s="373">
        <v>0</v>
      </c>
      <c r="DA112" s="373">
        <v>0</v>
      </c>
      <c r="DB112" s="373">
        <v>0</v>
      </c>
      <c r="DC112" s="373">
        <v>0</v>
      </c>
      <c r="DD112" s="373">
        <v>0</v>
      </c>
      <c r="DE112" s="373">
        <v>0</v>
      </c>
      <c r="DF112" s="373">
        <v>0</v>
      </c>
      <c r="DG112" s="373">
        <v>0</v>
      </c>
      <c r="DH112" s="373">
        <v>0</v>
      </c>
      <c r="DI112" s="373">
        <v>0</v>
      </c>
      <c r="DJ112" s="373">
        <v>0</v>
      </c>
      <c r="DK112" s="373">
        <v>0</v>
      </c>
      <c r="DL112" s="373">
        <v>0</v>
      </c>
      <c r="DM112" s="373">
        <v>0</v>
      </c>
      <c r="DN112" s="373">
        <v>0</v>
      </c>
      <c r="DO112" s="373">
        <v>0</v>
      </c>
      <c r="DP112" s="373">
        <v>0</v>
      </c>
      <c r="DQ112" s="373">
        <v>0</v>
      </c>
      <c r="DR112" s="373">
        <v>0</v>
      </c>
      <c r="DS112" s="365">
        <v>0</v>
      </c>
      <c r="DT112" s="374">
        <f t="shared" si="64"/>
        <v>61056.45</v>
      </c>
      <c r="DU112" s="375">
        <f t="shared" si="65"/>
        <v>0</v>
      </c>
      <c r="DV112" s="376"/>
      <c r="DW112" s="138" t="b">
        <f t="shared" si="66"/>
        <v>1</v>
      </c>
    </row>
    <row r="113" spans="1:130" s="138" customFormat="1" ht="12" customHeight="1">
      <c r="A113" s="169" t="s">
        <v>481</v>
      </c>
      <c r="B113" s="170"/>
      <c r="C113" s="171" t="s">
        <v>282</v>
      </c>
      <c r="D113" s="171"/>
      <c r="E113" s="365">
        <f t="shared" si="53"/>
        <v>64.61</v>
      </c>
      <c r="F113" s="365">
        <f t="shared" si="54"/>
        <v>0</v>
      </c>
      <c r="G113" s="365">
        <f t="shared" si="52"/>
        <v>64.61</v>
      </c>
      <c r="H113" s="365">
        <f t="shared" si="55"/>
        <v>0</v>
      </c>
      <c r="I113" s="365">
        <f t="shared" si="67"/>
        <v>149.1</v>
      </c>
      <c r="J113" s="366">
        <f t="shared" ref="J113:J116" si="68">H113*I113</f>
        <v>0</v>
      </c>
      <c r="K113" s="378"/>
      <c r="L113" s="378"/>
      <c r="M113" s="365"/>
      <c r="N113" s="379">
        <f t="shared" si="56"/>
        <v>945</v>
      </c>
      <c r="O113" s="382">
        <f t="shared" ref="O113:O116" si="69">+ROUND((G113*N113),2)+J113+M113</f>
        <v>61056.45</v>
      </c>
      <c r="P113" s="370">
        <f t="shared" ref="P113:P116" si="70">O113/(G113)</f>
        <v>945</v>
      </c>
      <c r="Q113" s="172">
        <v>0.01</v>
      </c>
      <c r="R113" s="371">
        <f t="shared" ref="R113:R116" si="71">O113*Q113</f>
        <v>610.56449999999995</v>
      </c>
      <c r="S113" s="172">
        <v>0.04</v>
      </c>
      <c r="T113" s="371">
        <f t="shared" ref="T113:T116" si="72">O113*S113</f>
        <v>2442.2579999999998</v>
      </c>
      <c r="U113" s="372">
        <f t="shared" si="62"/>
        <v>1</v>
      </c>
      <c r="V113" s="172">
        <v>0.95</v>
      </c>
      <c r="W113" s="371">
        <f t="shared" ref="W113:W116" si="73">+O113*V113</f>
        <v>58003.627499999995</v>
      </c>
      <c r="X113" s="373"/>
      <c r="Y113" s="373"/>
      <c r="Z113" s="373"/>
      <c r="AA113" s="373"/>
      <c r="AB113" s="373"/>
      <c r="AC113" s="373"/>
      <c r="AD113" s="373"/>
      <c r="AE113" s="373"/>
      <c r="AF113" s="373"/>
      <c r="AG113" s="373"/>
      <c r="AH113" s="373"/>
      <c r="AI113" s="373"/>
      <c r="AJ113" s="373"/>
      <c r="AK113" s="373">
        <f>+$R113</f>
        <v>610.56449999999995</v>
      </c>
      <c r="AL113" s="373">
        <f>+$T113/1</f>
        <v>2442.2579999999998</v>
      </c>
      <c r="AM113" s="373">
        <f>+$W113</f>
        <v>58003.627499999995</v>
      </c>
      <c r="AN113" s="373">
        <v>0</v>
      </c>
      <c r="AO113" s="373">
        <v>0</v>
      </c>
      <c r="AP113" s="373">
        <v>0</v>
      </c>
      <c r="AQ113" s="373">
        <v>0</v>
      </c>
      <c r="AR113" s="373">
        <v>0</v>
      </c>
      <c r="AS113" s="373">
        <v>0</v>
      </c>
      <c r="AT113" s="373">
        <f>+AQ113</f>
        <v>0</v>
      </c>
      <c r="AU113" s="373">
        <f>+AS113</f>
        <v>0</v>
      </c>
      <c r="AV113" s="373">
        <f>+AU113</f>
        <v>0</v>
      </c>
      <c r="AW113" s="373">
        <f>+AV113</f>
        <v>0</v>
      </c>
      <c r="AX113" s="373">
        <f>+AW113</f>
        <v>0</v>
      </c>
      <c r="AY113" s="373">
        <f>+AX113</f>
        <v>0</v>
      </c>
      <c r="AZ113" s="373">
        <v>0</v>
      </c>
      <c r="BA113" s="373">
        <v>0</v>
      </c>
      <c r="BB113" s="373">
        <v>0</v>
      </c>
      <c r="BC113" s="373">
        <v>0</v>
      </c>
      <c r="BD113" s="373">
        <v>0</v>
      </c>
      <c r="BE113" s="373">
        <v>0</v>
      </c>
      <c r="BF113" s="373">
        <v>0</v>
      </c>
      <c r="BG113" s="373">
        <v>0</v>
      </c>
      <c r="BH113" s="373">
        <v>0</v>
      </c>
      <c r="BI113" s="373">
        <v>0</v>
      </c>
      <c r="BJ113" s="373">
        <v>0</v>
      </c>
      <c r="BK113" s="373">
        <v>0</v>
      </c>
      <c r="BL113" s="373">
        <v>0</v>
      </c>
      <c r="BM113" s="373">
        <v>0</v>
      </c>
      <c r="BN113" s="373">
        <v>0</v>
      </c>
      <c r="BO113" s="373">
        <v>0</v>
      </c>
      <c r="BP113" s="373">
        <v>0</v>
      </c>
      <c r="BQ113" s="373">
        <v>0</v>
      </c>
      <c r="BR113" s="373">
        <v>0</v>
      </c>
      <c r="BS113" s="373">
        <v>0</v>
      </c>
      <c r="BT113" s="373">
        <v>0</v>
      </c>
      <c r="BU113" s="373">
        <v>0</v>
      </c>
      <c r="BV113" s="373">
        <v>0</v>
      </c>
      <c r="BW113" s="373">
        <v>0</v>
      </c>
      <c r="BX113" s="373">
        <v>0</v>
      </c>
      <c r="BY113" s="373">
        <v>0</v>
      </c>
      <c r="BZ113" s="373">
        <v>0</v>
      </c>
      <c r="CA113" s="373">
        <v>0</v>
      </c>
      <c r="CB113" s="373">
        <v>0</v>
      </c>
      <c r="CC113" s="373">
        <v>0</v>
      </c>
      <c r="CD113" s="373">
        <v>0</v>
      </c>
      <c r="CE113" s="373">
        <v>0</v>
      </c>
      <c r="CF113" s="373">
        <v>0</v>
      </c>
      <c r="CG113" s="373">
        <v>0</v>
      </c>
      <c r="CH113" s="373">
        <v>0</v>
      </c>
      <c r="CI113" s="373">
        <v>0</v>
      </c>
      <c r="CJ113" s="373">
        <v>0</v>
      </c>
      <c r="CK113" s="373">
        <v>0</v>
      </c>
      <c r="CL113" s="373">
        <v>0</v>
      </c>
      <c r="CM113" s="373">
        <v>0</v>
      </c>
      <c r="CN113" s="373">
        <v>0</v>
      </c>
      <c r="CO113" s="373">
        <v>0</v>
      </c>
      <c r="CP113" s="373">
        <v>0</v>
      </c>
      <c r="CQ113" s="373">
        <v>0</v>
      </c>
      <c r="CR113" s="373">
        <v>0</v>
      </c>
      <c r="CS113" s="365">
        <v>0</v>
      </c>
      <c r="CT113" s="373">
        <v>0</v>
      </c>
      <c r="CU113" s="373">
        <v>0</v>
      </c>
      <c r="CV113" s="373">
        <v>0</v>
      </c>
      <c r="CW113" s="373">
        <v>0</v>
      </c>
      <c r="CX113" s="373">
        <v>0</v>
      </c>
      <c r="CY113" s="373">
        <v>0</v>
      </c>
      <c r="CZ113" s="373">
        <v>0</v>
      </c>
      <c r="DA113" s="373">
        <v>0</v>
      </c>
      <c r="DB113" s="373">
        <v>0</v>
      </c>
      <c r="DC113" s="373">
        <v>0</v>
      </c>
      <c r="DD113" s="373">
        <v>0</v>
      </c>
      <c r="DE113" s="373">
        <v>0</v>
      </c>
      <c r="DF113" s="373">
        <v>0</v>
      </c>
      <c r="DG113" s="373">
        <v>0</v>
      </c>
      <c r="DH113" s="373">
        <v>0</v>
      </c>
      <c r="DI113" s="373">
        <v>0</v>
      </c>
      <c r="DJ113" s="373">
        <v>0</v>
      </c>
      <c r="DK113" s="373">
        <v>0</v>
      </c>
      <c r="DL113" s="373">
        <v>0</v>
      </c>
      <c r="DM113" s="373">
        <v>0</v>
      </c>
      <c r="DN113" s="373">
        <v>0</v>
      </c>
      <c r="DO113" s="373">
        <v>0</v>
      </c>
      <c r="DP113" s="373">
        <v>0</v>
      </c>
      <c r="DQ113" s="373">
        <v>0</v>
      </c>
      <c r="DR113" s="373">
        <v>0</v>
      </c>
      <c r="DS113" s="365">
        <v>0</v>
      </c>
      <c r="DT113" s="374">
        <f t="shared" si="64"/>
        <v>61056.45</v>
      </c>
      <c r="DU113" s="375">
        <f t="shared" ref="DU113:DU116" si="74">+O113-DT113</f>
        <v>0</v>
      </c>
      <c r="DV113" s="376"/>
      <c r="DW113" s="138" t="b">
        <f t="shared" si="66"/>
        <v>1</v>
      </c>
    </row>
    <row r="114" spans="1:130" s="138" customFormat="1" ht="12" customHeight="1">
      <c r="A114" s="169" t="s">
        <v>482</v>
      </c>
      <c r="B114" s="170"/>
      <c r="C114" s="171" t="s">
        <v>282</v>
      </c>
      <c r="D114" s="171"/>
      <c r="E114" s="365">
        <f t="shared" si="53"/>
        <v>64.61</v>
      </c>
      <c r="F114" s="365">
        <f t="shared" si="54"/>
        <v>0</v>
      </c>
      <c r="G114" s="365">
        <f t="shared" si="52"/>
        <v>64.61</v>
      </c>
      <c r="H114" s="365">
        <f t="shared" si="55"/>
        <v>0</v>
      </c>
      <c r="I114" s="365">
        <f t="shared" si="67"/>
        <v>149.1</v>
      </c>
      <c r="J114" s="366">
        <f t="shared" si="68"/>
        <v>0</v>
      </c>
      <c r="K114" s="378"/>
      <c r="L114" s="378"/>
      <c r="M114" s="365"/>
      <c r="N114" s="379">
        <f t="shared" si="56"/>
        <v>945</v>
      </c>
      <c r="O114" s="382">
        <f t="shared" si="69"/>
        <v>61056.45</v>
      </c>
      <c r="P114" s="370">
        <f t="shared" si="70"/>
        <v>945</v>
      </c>
      <c r="Q114" s="172">
        <v>0.01</v>
      </c>
      <c r="R114" s="371">
        <f t="shared" si="71"/>
        <v>610.56449999999995</v>
      </c>
      <c r="S114" s="172">
        <v>0.04</v>
      </c>
      <c r="T114" s="371">
        <f t="shared" si="72"/>
        <v>2442.2579999999998</v>
      </c>
      <c r="U114" s="372">
        <f t="shared" si="62"/>
        <v>5</v>
      </c>
      <c r="V114" s="172">
        <v>0.95</v>
      </c>
      <c r="W114" s="371">
        <f t="shared" si="73"/>
        <v>58003.627499999995</v>
      </c>
      <c r="X114" s="373"/>
      <c r="Y114" s="373"/>
      <c r="Z114" s="373"/>
      <c r="AA114" s="373"/>
      <c r="AB114" s="373"/>
      <c r="AC114" s="373"/>
      <c r="AD114" s="373"/>
      <c r="AE114" s="373"/>
      <c r="AF114" s="373"/>
      <c r="AG114" s="373"/>
      <c r="AH114" s="373"/>
      <c r="AI114" s="373"/>
      <c r="AJ114" s="373"/>
      <c r="AK114" s="373">
        <f>+$R114</f>
        <v>610.56449999999995</v>
      </c>
      <c r="AL114" s="373">
        <f>+$T114/5</f>
        <v>488.45159999999998</v>
      </c>
      <c r="AM114" s="373">
        <f>+$T114/5</f>
        <v>488.45159999999998</v>
      </c>
      <c r="AN114" s="373">
        <f>+$T114/5</f>
        <v>488.45159999999998</v>
      </c>
      <c r="AO114" s="373">
        <f>+$T114/5</f>
        <v>488.45159999999998</v>
      </c>
      <c r="AP114" s="373">
        <f>+$T114/5</f>
        <v>488.45159999999998</v>
      </c>
      <c r="AQ114" s="373">
        <f>+$W114</f>
        <v>58003.627499999995</v>
      </c>
      <c r="AR114" s="373">
        <v>0</v>
      </c>
      <c r="AS114" s="373">
        <v>0</v>
      </c>
      <c r="AT114" s="373">
        <v>0</v>
      </c>
      <c r="AU114" s="373">
        <v>0</v>
      </c>
      <c r="AV114" s="373">
        <v>0</v>
      </c>
      <c r="AW114" s="373">
        <v>0</v>
      </c>
      <c r="AX114" s="373">
        <v>0</v>
      </c>
      <c r="AY114" s="373">
        <v>0</v>
      </c>
      <c r="AZ114" s="373">
        <v>0</v>
      </c>
      <c r="BA114" s="373">
        <v>0</v>
      </c>
      <c r="BB114" s="373">
        <v>0</v>
      </c>
      <c r="BC114" s="373">
        <v>0</v>
      </c>
      <c r="BD114" s="373">
        <v>0</v>
      </c>
      <c r="BE114" s="373">
        <v>0</v>
      </c>
      <c r="BF114" s="373">
        <v>0</v>
      </c>
      <c r="BG114" s="373">
        <v>0</v>
      </c>
      <c r="BH114" s="373">
        <v>0</v>
      </c>
      <c r="BI114" s="373">
        <v>0</v>
      </c>
      <c r="BJ114" s="373">
        <v>0</v>
      </c>
      <c r="BK114" s="373">
        <v>0</v>
      </c>
      <c r="BL114" s="373">
        <v>0</v>
      </c>
      <c r="BM114" s="373">
        <v>0</v>
      </c>
      <c r="BN114" s="373">
        <v>0</v>
      </c>
      <c r="BO114" s="373">
        <v>0</v>
      </c>
      <c r="BP114" s="373">
        <v>0</v>
      </c>
      <c r="BQ114" s="373">
        <v>0</v>
      </c>
      <c r="BR114" s="373">
        <v>0</v>
      </c>
      <c r="BS114" s="373">
        <v>0</v>
      </c>
      <c r="BT114" s="373">
        <v>0</v>
      </c>
      <c r="BU114" s="373">
        <v>0</v>
      </c>
      <c r="BV114" s="373">
        <v>0</v>
      </c>
      <c r="BW114" s="373">
        <v>0</v>
      </c>
      <c r="BX114" s="373">
        <v>0</v>
      </c>
      <c r="BY114" s="373">
        <v>0</v>
      </c>
      <c r="BZ114" s="373">
        <v>0</v>
      </c>
      <c r="CA114" s="373">
        <v>0</v>
      </c>
      <c r="CB114" s="373">
        <v>0</v>
      </c>
      <c r="CC114" s="373">
        <v>0</v>
      </c>
      <c r="CD114" s="373">
        <v>0</v>
      </c>
      <c r="CE114" s="373">
        <v>0</v>
      </c>
      <c r="CF114" s="373">
        <v>0</v>
      </c>
      <c r="CG114" s="373">
        <v>0</v>
      </c>
      <c r="CH114" s="373">
        <v>0</v>
      </c>
      <c r="CI114" s="373">
        <v>0</v>
      </c>
      <c r="CJ114" s="373">
        <v>0</v>
      </c>
      <c r="CK114" s="373">
        <v>0</v>
      </c>
      <c r="CL114" s="373">
        <v>0</v>
      </c>
      <c r="CM114" s="373">
        <v>0</v>
      </c>
      <c r="CN114" s="373">
        <v>0</v>
      </c>
      <c r="CO114" s="373">
        <v>0</v>
      </c>
      <c r="CP114" s="373">
        <v>0</v>
      </c>
      <c r="CQ114" s="373">
        <v>0</v>
      </c>
      <c r="CR114" s="373">
        <v>0</v>
      </c>
      <c r="CS114" s="365">
        <v>0</v>
      </c>
      <c r="CT114" s="373">
        <v>0</v>
      </c>
      <c r="CU114" s="373">
        <v>0</v>
      </c>
      <c r="CV114" s="373">
        <v>0</v>
      </c>
      <c r="CW114" s="373">
        <v>0</v>
      </c>
      <c r="CX114" s="373">
        <v>0</v>
      </c>
      <c r="CY114" s="373">
        <v>0</v>
      </c>
      <c r="CZ114" s="373">
        <v>0</v>
      </c>
      <c r="DA114" s="373">
        <v>0</v>
      </c>
      <c r="DB114" s="373">
        <v>0</v>
      </c>
      <c r="DC114" s="373">
        <v>0</v>
      </c>
      <c r="DD114" s="373">
        <v>0</v>
      </c>
      <c r="DE114" s="373">
        <v>0</v>
      </c>
      <c r="DF114" s="373">
        <v>0</v>
      </c>
      <c r="DG114" s="373">
        <v>0</v>
      </c>
      <c r="DH114" s="373">
        <v>0</v>
      </c>
      <c r="DI114" s="373">
        <v>0</v>
      </c>
      <c r="DJ114" s="373">
        <v>0</v>
      </c>
      <c r="DK114" s="373">
        <v>0</v>
      </c>
      <c r="DL114" s="373">
        <v>0</v>
      </c>
      <c r="DM114" s="373">
        <v>0</v>
      </c>
      <c r="DN114" s="373">
        <v>0</v>
      </c>
      <c r="DO114" s="373">
        <v>0</v>
      </c>
      <c r="DP114" s="373">
        <v>0</v>
      </c>
      <c r="DQ114" s="373">
        <v>0</v>
      </c>
      <c r="DR114" s="373">
        <v>0</v>
      </c>
      <c r="DS114" s="365">
        <v>0</v>
      </c>
      <c r="DT114" s="374">
        <f t="shared" si="64"/>
        <v>61056.45</v>
      </c>
      <c r="DU114" s="375">
        <f t="shared" si="74"/>
        <v>0</v>
      </c>
      <c r="DV114" s="376"/>
      <c r="DW114" s="138" t="b">
        <f t="shared" si="66"/>
        <v>1</v>
      </c>
    </row>
    <row r="115" spans="1:130" s="138" customFormat="1" ht="12" customHeight="1">
      <c r="A115" s="169" t="s">
        <v>483</v>
      </c>
      <c r="B115" s="170"/>
      <c r="C115" s="171" t="s">
        <v>282</v>
      </c>
      <c r="D115" s="171"/>
      <c r="E115" s="365">
        <f t="shared" si="53"/>
        <v>64.61</v>
      </c>
      <c r="F115" s="365">
        <f t="shared" si="54"/>
        <v>0</v>
      </c>
      <c r="G115" s="365">
        <f t="shared" si="52"/>
        <v>64.61</v>
      </c>
      <c r="H115" s="365">
        <f t="shared" si="55"/>
        <v>0</v>
      </c>
      <c r="I115" s="365">
        <f t="shared" si="67"/>
        <v>149.1</v>
      </c>
      <c r="J115" s="366">
        <f t="shared" si="68"/>
        <v>0</v>
      </c>
      <c r="K115" s="378"/>
      <c r="L115" s="378"/>
      <c r="M115" s="365"/>
      <c r="N115" s="379">
        <f t="shared" si="56"/>
        <v>945</v>
      </c>
      <c r="O115" s="382">
        <f t="shared" si="69"/>
        <v>61056.45</v>
      </c>
      <c r="P115" s="370">
        <f t="shared" si="70"/>
        <v>945</v>
      </c>
      <c r="Q115" s="172">
        <v>0.01</v>
      </c>
      <c r="R115" s="371">
        <f t="shared" si="71"/>
        <v>610.56449999999995</v>
      </c>
      <c r="S115" s="172">
        <v>0.04</v>
      </c>
      <c r="T115" s="371">
        <f t="shared" si="72"/>
        <v>2442.2579999999998</v>
      </c>
      <c r="U115" s="372">
        <f t="shared" si="62"/>
        <v>3</v>
      </c>
      <c r="V115" s="172">
        <v>0.95</v>
      </c>
      <c r="W115" s="371">
        <f t="shared" si="73"/>
        <v>58003.627499999995</v>
      </c>
      <c r="X115" s="373"/>
      <c r="Y115" s="373"/>
      <c r="Z115" s="373"/>
      <c r="AA115" s="373"/>
      <c r="AB115" s="373"/>
      <c r="AC115" s="373"/>
      <c r="AD115" s="373"/>
      <c r="AE115" s="373"/>
      <c r="AF115" s="373"/>
      <c r="AG115" s="373"/>
      <c r="AH115" s="373"/>
      <c r="AI115" s="373"/>
      <c r="AJ115" s="373"/>
      <c r="AK115" s="373">
        <f>+$R115</f>
        <v>610.56449999999995</v>
      </c>
      <c r="AL115" s="373">
        <f>+$T115/3</f>
        <v>814.0859999999999</v>
      </c>
      <c r="AM115" s="373">
        <f>+$T115/3</f>
        <v>814.0859999999999</v>
      </c>
      <c r="AN115" s="373">
        <f>+$T115/3</f>
        <v>814.0859999999999</v>
      </c>
      <c r="AO115" s="373">
        <f>+$W115</f>
        <v>58003.627499999995</v>
      </c>
      <c r="AP115" s="373">
        <v>0</v>
      </c>
      <c r="AQ115" s="373">
        <v>0</v>
      </c>
      <c r="AR115" s="373">
        <v>0</v>
      </c>
      <c r="AS115" s="373">
        <v>0</v>
      </c>
      <c r="AT115" s="373">
        <v>0</v>
      </c>
      <c r="AU115" s="373">
        <v>0</v>
      </c>
      <c r="AV115" s="373">
        <v>0</v>
      </c>
      <c r="AW115" s="373">
        <f>+AV115</f>
        <v>0</v>
      </c>
      <c r="AX115" s="373">
        <f>+AW115</f>
        <v>0</v>
      </c>
      <c r="AY115" s="373">
        <f>+AX115</f>
        <v>0</v>
      </c>
      <c r="AZ115" s="373">
        <f>+AY115</f>
        <v>0</v>
      </c>
      <c r="BA115" s="373">
        <v>0</v>
      </c>
      <c r="BB115" s="373">
        <v>0</v>
      </c>
      <c r="BC115" s="373">
        <v>0</v>
      </c>
      <c r="BD115" s="373">
        <v>0</v>
      </c>
      <c r="BE115" s="373">
        <v>0</v>
      </c>
      <c r="BF115" s="373">
        <v>0</v>
      </c>
      <c r="BG115" s="373">
        <v>0</v>
      </c>
      <c r="BH115" s="373">
        <v>0</v>
      </c>
      <c r="BI115" s="373">
        <v>0</v>
      </c>
      <c r="BJ115" s="373">
        <v>0</v>
      </c>
      <c r="BK115" s="373">
        <v>0</v>
      </c>
      <c r="BL115" s="373">
        <v>0</v>
      </c>
      <c r="BM115" s="373">
        <v>0</v>
      </c>
      <c r="BN115" s="373">
        <v>0</v>
      </c>
      <c r="BO115" s="373">
        <v>0</v>
      </c>
      <c r="BP115" s="373">
        <v>0</v>
      </c>
      <c r="BQ115" s="373">
        <v>0</v>
      </c>
      <c r="BR115" s="373">
        <v>0</v>
      </c>
      <c r="BS115" s="373">
        <v>0</v>
      </c>
      <c r="BT115" s="373">
        <v>0</v>
      </c>
      <c r="BU115" s="373">
        <v>0</v>
      </c>
      <c r="BV115" s="373">
        <v>0</v>
      </c>
      <c r="BW115" s="373">
        <v>0</v>
      </c>
      <c r="BX115" s="373">
        <v>0</v>
      </c>
      <c r="BY115" s="373">
        <v>0</v>
      </c>
      <c r="BZ115" s="373">
        <v>0</v>
      </c>
      <c r="CA115" s="373">
        <v>0</v>
      </c>
      <c r="CB115" s="373">
        <v>0</v>
      </c>
      <c r="CC115" s="373">
        <v>0</v>
      </c>
      <c r="CD115" s="373">
        <v>0</v>
      </c>
      <c r="CE115" s="373">
        <v>0</v>
      </c>
      <c r="CF115" s="373">
        <v>0</v>
      </c>
      <c r="CG115" s="373">
        <v>0</v>
      </c>
      <c r="CH115" s="373">
        <v>0</v>
      </c>
      <c r="CI115" s="373">
        <v>0</v>
      </c>
      <c r="CJ115" s="373">
        <v>0</v>
      </c>
      <c r="CK115" s="373">
        <v>0</v>
      </c>
      <c r="CL115" s="373">
        <v>0</v>
      </c>
      <c r="CM115" s="373">
        <v>0</v>
      </c>
      <c r="CN115" s="373">
        <v>0</v>
      </c>
      <c r="CO115" s="373">
        <v>0</v>
      </c>
      <c r="CP115" s="373">
        <v>0</v>
      </c>
      <c r="CQ115" s="373">
        <v>0</v>
      </c>
      <c r="CR115" s="373">
        <v>0</v>
      </c>
      <c r="CS115" s="365">
        <v>0</v>
      </c>
      <c r="CT115" s="373">
        <v>0</v>
      </c>
      <c r="CU115" s="373">
        <v>0</v>
      </c>
      <c r="CV115" s="373">
        <v>0</v>
      </c>
      <c r="CW115" s="373">
        <v>0</v>
      </c>
      <c r="CX115" s="373">
        <v>0</v>
      </c>
      <c r="CY115" s="373">
        <v>0</v>
      </c>
      <c r="CZ115" s="373">
        <v>0</v>
      </c>
      <c r="DA115" s="373">
        <v>0</v>
      </c>
      <c r="DB115" s="373">
        <v>0</v>
      </c>
      <c r="DC115" s="373">
        <v>0</v>
      </c>
      <c r="DD115" s="373">
        <v>0</v>
      </c>
      <c r="DE115" s="373">
        <v>0</v>
      </c>
      <c r="DF115" s="373">
        <v>0</v>
      </c>
      <c r="DG115" s="373">
        <v>0</v>
      </c>
      <c r="DH115" s="373">
        <v>0</v>
      </c>
      <c r="DI115" s="373">
        <v>0</v>
      </c>
      <c r="DJ115" s="373">
        <v>0</v>
      </c>
      <c r="DK115" s="373">
        <v>0</v>
      </c>
      <c r="DL115" s="373">
        <v>0</v>
      </c>
      <c r="DM115" s="373">
        <v>0</v>
      </c>
      <c r="DN115" s="373">
        <v>0</v>
      </c>
      <c r="DO115" s="373">
        <v>0</v>
      </c>
      <c r="DP115" s="373">
        <v>0</v>
      </c>
      <c r="DQ115" s="373">
        <v>0</v>
      </c>
      <c r="DR115" s="373">
        <v>0</v>
      </c>
      <c r="DS115" s="365">
        <v>0</v>
      </c>
      <c r="DT115" s="374">
        <f t="shared" si="64"/>
        <v>61056.45</v>
      </c>
      <c r="DU115" s="375">
        <f t="shared" si="74"/>
        <v>0</v>
      </c>
      <c r="DV115" s="376"/>
      <c r="DW115" s="138" t="b">
        <f t="shared" si="66"/>
        <v>1</v>
      </c>
    </row>
    <row r="116" spans="1:130" s="138" customFormat="1" ht="12" customHeight="1">
      <c r="A116" s="169" t="s">
        <v>484</v>
      </c>
      <c r="B116" s="170"/>
      <c r="C116" s="171" t="s">
        <v>282</v>
      </c>
      <c r="D116" s="171"/>
      <c r="E116" s="365">
        <f t="shared" si="53"/>
        <v>64.61</v>
      </c>
      <c r="F116" s="365">
        <f t="shared" si="54"/>
        <v>0</v>
      </c>
      <c r="G116" s="365">
        <f t="shared" si="52"/>
        <v>64.61</v>
      </c>
      <c r="H116" s="365">
        <f t="shared" si="55"/>
        <v>0</v>
      </c>
      <c r="I116" s="365">
        <f t="shared" si="67"/>
        <v>149.1</v>
      </c>
      <c r="J116" s="366">
        <f t="shared" si="68"/>
        <v>0</v>
      </c>
      <c r="K116" s="378"/>
      <c r="L116" s="378"/>
      <c r="M116" s="365"/>
      <c r="N116" s="379">
        <f t="shared" si="56"/>
        <v>945</v>
      </c>
      <c r="O116" s="382">
        <f t="shared" si="69"/>
        <v>61056.45</v>
      </c>
      <c r="P116" s="370">
        <f t="shared" si="70"/>
        <v>945</v>
      </c>
      <c r="Q116" s="172">
        <v>0.01</v>
      </c>
      <c r="R116" s="371">
        <f t="shared" si="71"/>
        <v>610.56449999999995</v>
      </c>
      <c r="S116" s="172">
        <v>0.04</v>
      </c>
      <c r="T116" s="371">
        <f t="shared" si="72"/>
        <v>2442.2579999999998</v>
      </c>
      <c r="U116" s="372">
        <f t="shared" si="62"/>
        <v>1</v>
      </c>
      <c r="V116" s="172">
        <v>0.95</v>
      </c>
      <c r="W116" s="371">
        <f t="shared" si="73"/>
        <v>58003.627499999995</v>
      </c>
      <c r="X116" s="373"/>
      <c r="Y116" s="373"/>
      <c r="Z116" s="373"/>
      <c r="AA116" s="373"/>
      <c r="AB116" s="373"/>
      <c r="AC116" s="373"/>
      <c r="AD116" s="373"/>
      <c r="AE116" s="373"/>
      <c r="AF116" s="373"/>
      <c r="AG116" s="373"/>
      <c r="AH116" s="373"/>
      <c r="AI116" s="373"/>
      <c r="AJ116" s="373"/>
      <c r="AK116" s="373"/>
      <c r="AL116" s="373">
        <f>+$R116</f>
        <v>610.56449999999995</v>
      </c>
      <c r="AM116" s="373">
        <f>+$T116/1</f>
        <v>2442.2579999999998</v>
      </c>
      <c r="AO116" s="373">
        <f>+$W116</f>
        <v>58003.627499999995</v>
      </c>
      <c r="AP116" s="373">
        <v>0</v>
      </c>
      <c r="AQ116" s="373">
        <v>0</v>
      </c>
      <c r="AR116" s="373">
        <v>0</v>
      </c>
      <c r="AS116" s="373">
        <v>0</v>
      </c>
      <c r="AT116" s="373">
        <v>0</v>
      </c>
      <c r="AU116" s="373">
        <v>0</v>
      </c>
      <c r="AV116" s="373">
        <v>0</v>
      </c>
      <c r="AW116" s="373">
        <v>0</v>
      </c>
      <c r="AX116" s="373">
        <v>0</v>
      </c>
      <c r="AY116" s="373">
        <v>0</v>
      </c>
      <c r="AZ116" s="373">
        <v>0</v>
      </c>
      <c r="BA116" s="373">
        <v>0</v>
      </c>
      <c r="BB116" s="373">
        <v>0</v>
      </c>
      <c r="BC116" s="373">
        <v>0</v>
      </c>
      <c r="BD116" s="373">
        <v>0</v>
      </c>
      <c r="BE116" s="373">
        <v>0</v>
      </c>
      <c r="BF116" s="373">
        <v>0</v>
      </c>
      <c r="BG116" s="373">
        <v>0</v>
      </c>
      <c r="BH116" s="373">
        <v>0</v>
      </c>
      <c r="BI116" s="373">
        <v>0</v>
      </c>
      <c r="BJ116" s="373">
        <v>0</v>
      </c>
      <c r="BK116" s="373">
        <v>0</v>
      </c>
      <c r="BL116" s="373">
        <v>0</v>
      </c>
      <c r="BM116" s="373">
        <v>0</v>
      </c>
      <c r="BN116" s="373">
        <v>0</v>
      </c>
      <c r="BO116" s="373">
        <v>0</v>
      </c>
      <c r="BP116" s="373">
        <v>0</v>
      </c>
      <c r="BQ116" s="373">
        <v>0</v>
      </c>
      <c r="BR116" s="373">
        <v>0</v>
      </c>
      <c r="BS116" s="373">
        <v>0</v>
      </c>
      <c r="BT116" s="373">
        <v>0</v>
      </c>
      <c r="BU116" s="373">
        <v>0</v>
      </c>
      <c r="BV116" s="373">
        <v>0</v>
      </c>
      <c r="BW116" s="373">
        <v>0</v>
      </c>
      <c r="BX116" s="373">
        <v>0</v>
      </c>
      <c r="BY116" s="373">
        <v>0</v>
      </c>
      <c r="BZ116" s="373">
        <v>0</v>
      </c>
      <c r="CA116" s="373">
        <v>0</v>
      </c>
      <c r="CB116" s="373">
        <v>0</v>
      </c>
      <c r="CC116" s="373">
        <v>0</v>
      </c>
      <c r="CD116" s="373">
        <v>0</v>
      </c>
      <c r="CE116" s="373">
        <v>0</v>
      </c>
      <c r="CF116" s="373">
        <v>0</v>
      </c>
      <c r="CG116" s="373">
        <v>0</v>
      </c>
      <c r="CH116" s="373">
        <v>0</v>
      </c>
      <c r="CI116" s="373">
        <v>0</v>
      </c>
      <c r="CJ116" s="373">
        <v>0</v>
      </c>
      <c r="CK116" s="373">
        <v>0</v>
      </c>
      <c r="CL116" s="373">
        <v>0</v>
      </c>
      <c r="CM116" s="373">
        <v>0</v>
      </c>
      <c r="CN116" s="373">
        <v>0</v>
      </c>
      <c r="CO116" s="373">
        <v>0</v>
      </c>
      <c r="CP116" s="373">
        <v>0</v>
      </c>
      <c r="CQ116" s="373">
        <v>0</v>
      </c>
      <c r="CR116" s="373">
        <v>0</v>
      </c>
      <c r="CS116" s="365">
        <v>0</v>
      </c>
      <c r="CT116" s="373">
        <v>0</v>
      </c>
      <c r="CU116" s="373">
        <v>0</v>
      </c>
      <c r="CV116" s="373">
        <v>0</v>
      </c>
      <c r="CW116" s="373">
        <v>0</v>
      </c>
      <c r="CX116" s="373">
        <v>0</v>
      </c>
      <c r="CY116" s="373">
        <v>0</v>
      </c>
      <c r="CZ116" s="373">
        <v>0</v>
      </c>
      <c r="DA116" s="373">
        <v>0</v>
      </c>
      <c r="DB116" s="373">
        <v>0</v>
      </c>
      <c r="DC116" s="373">
        <v>0</v>
      </c>
      <c r="DD116" s="373">
        <v>0</v>
      </c>
      <c r="DE116" s="373">
        <v>0</v>
      </c>
      <c r="DF116" s="373">
        <v>0</v>
      </c>
      <c r="DG116" s="373">
        <v>0</v>
      </c>
      <c r="DH116" s="373">
        <v>0</v>
      </c>
      <c r="DI116" s="373">
        <v>0</v>
      </c>
      <c r="DJ116" s="373">
        <v>0</v>
      </c>
      <c r="DK116" s="373">
        <v>0</v>
      </c>
      <c r="DL116" s="373">
        <v>0</v>
      </c>
      <c r="DM116" s="373">
        <v>0</v>
      </c>
      <c r="DN116" s="373">
        <v>0</v>
      </c>
      <c r="DO116" s="373">
        <v>0</v>
      </c>
      <c r="DP116" s="373">
        <v>0</v>
      </c>
      <c r="DQ116" s="373">
        <v>0</v>
      </c>
      <c r="DR116" s="373">
        <v>0</v>
      </c>
      <c r="DS116" s="365">
        <v>0</v>
      </c>
      <c r="DT116" s="374">
        <f t="shared" si="64"/>
        <v>61056.45</v>
      </c>
      <c r="DU116" s="375">
        <f t="shared" si="74"/>
        <v>0</v>
      </c>
      <c r="DV116" s="376"/>
      <c r="DW116" s="138" t="b">
        <f t="shared" si="66"/>
        <v>1</v>
      </c>
    </row>
    <row r="117" spans="1:130" s="138" customFormat="1" ht="12" customHeight="1">
      <c r="A117" s="174"/>
      <c r="B117" s="175"/>
      <c r="C117" s="387"/>
      <c r="D117" s="387"/>
      <c r="E117" s="387">
        <f>SUM(E17:E116)</f>
        <v>6604.679999999993</v>
      </c>
      <c r="F117" s="387"/>
      <c r="G117" s="387">
        <f>SUM(G17:G116)</f>
        <v>6660.8399999999901</v>
      </c>
      <c r="H117" s="387"/>
      <c r="I117" s="387"/>
      <c r="J117" s="387"/>
      <c r="K117" s="388"/>
      <c r="L117" s="388"/>
      <c r="M117" s="387">
        <f>SUM(M17:M116)</f>
        <v>434000</v>
      </c>
      <c r="N117" s="387"/>
      <c r="O117" s="387">
        <f>SUM(O17:O116)</f>
        <v>7081052.5520000057</v>
      </c>
      <c r="P117" s="176"/>
      <c r="Q117" s="389"/>
      <c r="R117" s="387">
        <f>SUM(R17:R116)</f>
        <v>70810.525519999937</v>
      </c>
      <c r="S117" s="389"/>
      <c r="T117" s="387">
        <f>SUM(T17:T116)</f>
        <v>283242.10207999975</v>
      </c>
      <c r="U117" s="387"/>
      <c r="V117" s="389"/>
      <c r="W117" s="387">
        <f t="shared" ref="W117:BB117" si="75">SUM(W17:W116)</f>
        <v>6726999.9244000129</v>
      </c>
      <c r="X117" s="387">
        <f t="shared" si="75"/>
        <v>1492.8355200000001</v>
      </c>
      <c r="Y117" s="387">
        <f t="shared" si="75"/>
        <v>4977.474556000001</v>
      </c>
      <c r="Z117" s="387">
        <f t="shared" si="75"/>
        <v>10270.685972000001</v>
      </c>
      <c r="AA117" s="387">
        <f t="shared" si="75"/>
        <v>20642.910701333334</v>
      </c>
      <c r="AB117" s="387">
        <f t="shared" si="75"/>
        <v>150549.75985200002</v>
      </c>
      <c r="AC117" s="387">
        <f t="shared" si="75"/>
        <v>233177.52118800007</v>
      </c>
      <c r="AD117" s="387">
        <f t="shared" si="75"/>
        <v>450794.91997599974</v>
      </c>
      <c r="AE117" s="387">
        <f t="shared" si="75"/>
        <v>594100.17278933327</v>
      </c>
      <c r="AF117" s="387">
        <f t="shared" si="75"/>
        <v>655089.35115066636</v>
      </c>
      <c r="AG117" s="387">
        <f t="shared" si="75"/>
        <v>651160.8883973331</v>
      </c>
      <c r="AH117" s="387">
        <f t="shared" si="75"/>
        <v>712574.56700399984</v>
      </c>
      <c r="AI117" s="387">
        <f t="shared" si="75"/>
        <v>774791.95772266656</v>
      </c>
      <c r="AJ117" s="387">
        <f t="shared" si="75"/>
        <v>577340.67933333328</v>
      </c>
      <c r="AK117" s="387">
        <f t="shared" si="75"/>
        <v>678634.85720933322</v>
      </c>
      <c r="AL117" s="387">
        <f t="shared" si="75"/>
        <v>474678.44944533304</v>
      </c>
      <c r="AM117" s="387">
        <f t="shared" si="75"/>
        <v>349406.62458266655</v>
      </c>
      <c r="AN117" s="387">
        <f t="shared" si="75"/>
        <v>382381.77679999993</v>
      </c>
      <c r="AO117" s="387">
        <f>SUM(AO17:AO116)</f>
        <v>242491.41319999998</v>
      </c>
      <c r="AP117" s="387">
        <f t="shared" si="75"/>
        <v>58492.079099999995</v>
      </c>
      <c r="AQ117" s="387">
        <f t="shared" si="75"/>
        <v>58003.627499999995</v>
      </c>
      <c r="AR117" s="387">
        <f t="shared" si="75"/>
        <v>0</v>
      </c>
      <c r="AS117" s="387">
        <f t="shared" si="75"/>
        <v>0</v>
      </c>
      <c r="AT117" s="387">
        <f t="shared" si="75"/>
        <v>0</v>
      </c>
      <c r="AU117" s="387">
        <f t="shared" si="75"/>
        <v>0</v>
      </c>
      <c r="AV117" s="387">
        <f t="shared" si="75"/>
        <v>0</v>
      </c>
      <c r="AW117" s="387">
        <f t="shared" si="75"/>
        <v>0</v>
      </c>
      <c r="AX117" s="387">
        <f t="shared" si="75"/>
        <v>0</v>
      </c>
      <c r="AY117" s="387">
        <f t="shared" si="75"/>
        <v>0</v>
      </c>
      <c r="AZ117" s="387">
        <f t="shared" si="75"/>
        <v>0</v>
      </c>
      <c r="BA117" s="387">
        <f t="shared" si="75"/>
        <v>0</v>
      </c>
      <c r="BB117" s="387">
        <f t="shared" si="75"/>
        <v>0</v>
      </c>
      <c r="BC117" s="387">
        <f t="shared" ref="BC117:CH117" si="76">SUM(BC17:BC116)</f>
        <v>0</v>
      </c>
      <c r="BD117" s="387">
        <f t="shared" si="76"/>
        <v>0</v>
      </c>
      <c r="BE117" s="387">
        <f t="shared" si="76"/>
        <v>0</v>
      </c>
      <c r="BF117" s="387">
        <f t="shared" si="76"/>
        <v>0</v>
      </c>
      <c r="BG117" s="387">
        <f t="shared" si="76"/>
        <v>0</v>
      </c>
      <c r="BH117" s="387">
        <f t="shared" si="76"/>
        <v>0</v>
      </c>
      <c r="BI117" s="387">
        <f t="shared" si="76"/>
        <v>0</v>
      </c>
      <c r="BJ117" s="387">
        <f t="shared" si="76"/>
        <v>0</v>
      </c>
      <c r="BK117" s="387">
        <f t="shared" si="76"/>
        <v>0</v>
      </c>
      <c r="BL117" s="387">
        <f t="shared" si="76"/>
        <v>0</v>
      </c>
      <c r="BM117" s="387">
        <f t="shared" si="76"/>
        <v>0</v>
      </c>
      <c r="BN117" s="387">
        <f t="shared" si="76"/>
        <v>0</v>
      </c>
      <c r="BO117" s="387">
        <f t="shared" si="76"/>
        <v>0</v>
      </c>
      <c r="BP117" s="387">
        <f t="shared" si="76"/>
        <v>0</v>
      </c>
      <c r="BQ117" s="387">
        <f t="shared" si="76"/>
        <v>0</v>
      </c>
      <c r="BR117" s="387">
        <f t="shared" si="76"/>
        <v>0</v>
      </c>
      <c r="BS117" s="387">
        <f t="shared" si="76"/>
        <v>0</v>
      </c>
      <c r="BT117" s="387">
        <f t="shared" si="76"/>
        <v>0</v>
      </c>
      <c r="BU117" s="387">
        <f t="shared" si="76"/>
        <v>0</v>
      </c>
      <c r="BV117" s="387">
        <f t="shared" si="76"/>
        <v>0</v>
      </c>
      <c r="BW117" s="387">
        <f t="shared" si="76"/>
        <v>0</v>
      </c>
      <c r="BX117" s="387">
        <f t="shared" si="76"/>
        <v>0</v>
      </c>
      <c r="BY117" s="387">
        <f t="shared" si="76"/>
        <v>0</v>
      </c>
      <c r="BZ117" s="387">
        <f t="shared" si="76"/>
        <v>0</v>
      </c>
      <c r="CA117" s="387">
        <f t="shared" si="76"/>
        <v>0</v>
      </c>
      <c r="CB117" s="387">
        <f t="shared" si="76"/>
        <v>0</v>
      </c>
      <c r="CC117" s="387">
        <f t="shared" si="76"/>
        <v>0</v>
      </c>
      <c r="CD117" s="387">
        <f t="shared" si="76"/>
        <v>0</v>
      </c>
      <c r="CE117" s="387">
        <f t="shared" si="76"/>
        <v>0</v>
      </c>
      <c r="CF117" s="387">
        <f t="shared" si="76"/>
        <v>0</v>
      </c>
      <c r="CG117" s="387">
        <f t="shared" si="76"/>
        <v>0</v>
      </c>
      <c r="CH117" s="387">
        <f t="shared" si="76"/>
        <v>0</v>
      </c>
      <c r="CI117" s="387">
        <f t="shared" ref="CI117:DN117" si="77">SUM(CI17:CI116)</f>
        <v>0</v>
      </c>
      <c r="CJ117" s="387">
        <f t="shared" si="77"/>
        <v>0</v>
      </c>
      <c r="CK117" s="387">
        <f t="shared" si="77"/>
        <v>0</v>
      </c>
      <c r="CL117" s="387">
        <f t="shared" si="77"/>
        <v>0</v>
      </c>
      <c r="CM117" s="387">
        <f t="shared" si="77"/>
        <v>0</v>
      </c>
      <c r="CN117" s="387">
        <f t="shared" si="77"/>
        <v>0</v>
      </c>
      <c r="CO117" s="387">
        <f t="shared" si="77"/>
        <v>0</v>
      </c>
      <c r="CP117" s="387">
        <f t="shared" si="77"/>
        <v>0</v>
      </c>
      <c r="CQ117" s="387">
        <f t="shared" si="77"/>
        <v>0</v>
      </c>
      <c r="CR117" s="387">
        <f t="shared" si="77"/>
        <v>0</v>
      </c>
      <c r="CS117" s="387">
        <f t="shared" si="77"/>
        <v>0</v>
      </c>
      <c r="CT117" s="387">
        <f t="shared" si="77"/>
        <v>0</v>
      </c>
      <c r="CU117" s="387">
        <f t="shared" si="77"/>
        <v>0</v>
      </c>
      <c r="CV117" s="387">
        <f t="shared" si="77"/>
        <v>0</v>
      </c>
      <c r="CW117" s="387">
        <f t="shared" si="77"/>
        <v>0</v>
      </c>
      <c r="CX117" s="387">
        <f t="shared" si="77"/>
        <v>0</v>
      </c>
      <c r="CY117" s="387">
        <f t="shared" si="77"/>
        <v>0</v>
      </c>
      <c r="CZ117" s="387">
        <f t="shared" si="77"/>
        <v>0</v>
      </c>
      <c r="DA117" s="387">
        <f t="shared" si="77"/>
        <v>0</v>
      </c>
      <c r="DB117" s="387">
        <f t="shared" si="77"/>
        <v>0</v>
      </c>
      <c r="DC117" s="387">
        <f t="shared" si="77"/>
        <v>0</v>
      </c>
      <c r="DD117" s="387">
        <f t="shared" si="77"/>
        <v>0</v>
      </c>
      <c r="DE117" s="387">
        <f t="shared" si="77"/>
        <v>0</v>
      </c>
      <c r="DF117" s="387">
        <f t="shared" si="77"/>
        <v>0</v>
      </c>
      <c r="DG117" s="387">
        <f t="shared" si="77"/>
        <v>0</v>
      </c>
      <c r="DH117" s="387">
        <f t="shared" si="77"/>
        <v>0</v>
      </c>
      <c r="DI117" s="387">
        <f t="shared" si="77"/>
        <v>0</v>
      </c>
      <c r="DJ117" s="387">
        <f t="shared" si="77"/>
        <v>0</v>
      </c>
      <c r="DK117" s="387">
        <f t="shared" si="77"/>
        <v>0</v>
      </c>
      <c r="DL117" s="387">
        <f t="shared" si="77"/>
        <v>0</v>
      </c>
      <c r="DM117" s="387">
        <f t="shared" si="77"/>
        <v>0</v>
      </c>
      <c r="DN117" s="387">
        <f t="shared" si="77"/>
        <v>0</v>
      </c>
      <c r="DO117" s="387">
        <f t="shared" ref="DO117:DT117" si="78">SUM(DO17:DO116)</f>
        <v>0</v>
      </c>
      <c r="DP117" s="387">
        <f t="shared" si="78"/>
        <v>0</v>
      </c>
      <c r="DQ117" s="387">
        <f t="shared" si="78"/>
        <v>0</v>
      </c>
      <c r="DR117" s="387">
        <f t="shared" si="78"/>
        <v>0</v>
      </c>
      <c r="DS117" s="387">
        <f t="shared" si="78"/>
        <v>0</v>
      </c>
      <c r="DT117" s="387">
        <f t="shared" si="78"/>
        <v>7081052.5520000057</v>
      </c>
      <c r="DU117" s="382"/>
      <c r="DV117" s="390"/>
      <c r="DW117" s="138" t="b">
        <f t="shared" si="66"/>
        <v>1</v>
      </c>
    </row>
    <row r="118" spans="1:130" s="138" customFormat="1" ht="12" customHeight="1">
      <c r="A118" s="177"/>
      <c r="B118" s="376"/>
      <c r="C118" s="376"/>
      <c r="F118" s="376"/>
      <c r="G118" s="376"/>
      <c r="H118" s="376"/>
      <c r="I118" s="376"/>
      <c r="J118" s="376"/>
      <c r="K118" s="391"/>
      <c r="L118" s="391"/>
      <c r="M118" s="376"/>
      <c r="S118" s="392"/>
      <c r="T118" s="178"/>
      <c r="U118" s="178"/>
      <c r="W118" s="178"/>
      <c r="DY118" s="376"/>
    </row>
    <row r="119" spans="1:130" s="138" customFormat="1" ht="24" customHeight="1">
      <c r="A119" s="179" t="s">
        <v>292</v>
      </c>
      <c r="B119" s="180" t="s">
        <v>485</v>
      </c>
      <c r="C119" s="376"/>
      <c r="F119" s="376"/>
      <c r="G119" s="376"/>
      <c r="H119" s="376"/>
      <c r="I119" s="376"/>
      <c r="J119" s="376"/>
      <c r="K119" s="391"/>
      <c r="L119" s="391"/>
      <c r="M119" s="376"/>
      <c r="T119" s="178"/>
      <c r="U119" s="178"/>
      <c r="W119" s="181" t="s">
        <v>486</v>
      </c>
      <c r="X119" s="181"/>
      <c r="Y119" s="348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  <c r="BH119" s="182"/>
      <c r="BI119" s="182"/>
      <c r="BJ119" s="182"/>
      <c r="BK119" s="182"/>
      <c r="BL119" s="182"/>
      <c r="BM119" s="182"/>
      <c r="BN119" s="182"/>
      <c r="BO119" s="182"/>
      <c r="BP119" s="182"/>
      <c r="BQ119" s="182"/>
      <c r="BR119" s="182"/>
      <c r="BS119" s="182"/>
      <c r="BT119" s="182"/>
      <c r="BU119" s="182"/>
      <c r="BV119" s="182"/>
      <c r="BW119" s="182"/>
      <c r="BX119" s="182"/>
      <c r="BY119" s="182"/>
      <c r="BZ119" s="182"/>
      <c r="CA119" s="182"/>
      <c r="CB119" s="182"/>
      <c r="CC119" s="182"/>
      <c r="CD119" s="182"/>
      <c r="CE119" s="182"/>
      <c r="CF119" s="182"/>
      <c r="CG119" s="182"/>
      <c r="CH119" s="182"/>
      <c r="CI119" s="182"/>
      <c r="CJ119" s="182"/>
      <c r="CK119" s="182"/>
      <c r="CL119" s="182"/>
      <c r="CM119" s="182"/>
      <c r="CN119" s="182"/>
      <c r="CO119" s="182"/>
      <c r="CP119" s="182"/>
      <c r="CQ119" s="182"/>
      <c r="CR119" s="182"/>
      <c r="CS119" s="182"/>
      <c r="CT119" s="182"/>
      <c r="CU119" s="182"/>
      <c r="CV119" s="182"/>
      <c r="CW119" s="182"/>
      <c r="CX119" s="182"/>
      <c r="CY119" s="182"/>
      <c r="CZ119" s="182"/>
      <c r="DA119" s="182"/>
      <c r="DB119" s="182"/>
      <c r="DC119" s="182"/>
      <c r="DD119" s="182"/>
      <c r="DE119" s="182"/>
      <c r="DF119" s="182"/>
      <c r="DG119" s="182"/>
      <c r="DH119" s="182"/>
      <c r="DI119" s="182"/>
      <c r="DJ119" s="182"/>
      <c r="DK119" s="182"/>
      <c r="DL119" s="182"/>
      <c r="DM119" s="182"/>
      <c r="DN119" s="182"/>
      <c r="DO119" s="182"/>
      <c r="DP119" s="182"/>
      <c r="DQ119" s="182"/>
      <c r="DR119" s="182"/>
      <c r="DS119" s="182"/>
      <c r="DT119" s="182"/>
      <c r="DU119" s="182"/>
      <c r="DV119" s="182"/>
      <c r="DW119" s="182"/>
      <c r="DX119" s="350"/>
      <c r="DY119" s="393"/>
      <c r="DZ119" s="376"/>
    </row>
    <row r="120" spans="1:130" s="138" customFormat="1" ht="11.25" customHeight="1">
      <c r="A120" s="394"/>
      <c r="B120" s="376"/>
      <c r="C120" s="376"/>
      <c r="F120" s="376"/>
      <c r="G120" s="376"/>
      <c r="H120" s="376"/>
      <c r="I120" s="376"/>
      <c r="J120" s="376"/>
      <c r="K120" s="391"/>
      <c r="L120" s="391"/>
      <c r="M120" s="376"/>
      <c r="T120" s="178"/>
      <c r="U120" s="178"/>
      <c r="V120" s="521" t="s">
        <v>281</v>
      </c>
      <c r="W120" s="487"/>
      <c r="X120" s="395">
        <f t="shared" ref="X120:AQ120" si="79">SUM(X35:X50)*X125/X117</f>
        <v>20.187973799999998</v>
      </c>
      <c r="Y120" s="395">
        <f t="shared" si="79"/>
        <v>36.338352839999999</v>
      </c>
      <c r="Z120" s="395">
        <f t="shared" si="79"/>
        <v>63.255651240000006</v>
      </c>
      <c r="AA120" s="395">
        <f t="shared" si="79"/>
        <v>144.00754644</v>
      </c>
      <c r="AB120" s="395">
        <f t="shared" si="79"/>
        <v>1996.9635412799996</v>
      </c>
      <c r="AC120" s="395">
        <f t="shared" si="79"/>
        <v>2016.7515150799993</v>
      </c>
      <c r="AD120" s="395">
        <f t="shared" si="79"/>
        <v>2096.6034102799995</v>
      </c>
      <c r="AE120" s="395">
        <f t="shared" si="79"/>
        <v>2096.2207086799995</v>
      </c>
      <c r="AF120" s="395">
        <f t="shared" si="79"/>
        <v>3949.876703519999</v>
      </c>
      <c r="AG120" s="395">
        <f t="shared" si="79"/>
        <v>2140.9710877199996</v>
      </c>
      <c r="AH120" s="395">
        <f t="shared" si="79"/>
        <v>4038.5406249200005</v>
      </c>
      <c r="AI120" s="395">
        <f t="shared" si="79"/>
        <v>5828.5409685199993</v>
      </c>
      <c r="AJ120" s="395">
        <f t="shared" si="79"/>
        <v>74.96843552</v>
      </c>
      <c r="AK120" s="395">
        <f t="shared" si="79"/>
        <v>3839.5157800799993</v>
      </c>
      <c r="AL120" s="395">
        <f t="shared" si="79"/>
        <v>1934.0078900399999</v>
      </c>
      <c r="AM120" s="395">
        <f t="shared" si="79"/>
        <v>16.150379039999997</v>
      </c>
      <c r="AN120" s="395">
        <f t="shared" si="79"/>
        <v>1917.8575109999999</v>
      </c>
      <c r="AO120" s="395">
        <f t="shared" si="79"/>
        <v>0</v>
      </c>
      <c r="AP120" s="395">
        <f t="shared" si="79"/>
        <v>0</v>
      </c>
      <c r="AQ120" s="395">
        <f t="shared" si="79"/>
        <v>0</v>
      </c>
      <c r="AR120" s="395"/>
      <c r="AS120" s="395"/>
      <c r="AT120" s="395"/>
      <c r="AU120" s="395"/>
      <c r="AV120" s="395"/>
      <c r="AW120" s="395"/>
      <c r="AX120" s="395"/>
      <c r="AY120" s="395"/>
      <c r="AZ120" s="395"/>
      <c r="BA120" s="395"/>
      <c r="BB120" s="395"/>
      <c r="BC120" s="395"/>
      <c r="BD120" s="395"/>
      <c r="BE120" s="395"/>
      <c r="BF120" s="395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3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183"/>
      <c r="DN120" s="183"/>
      <c r="DO120" s="183"/>
      <c r="DP120" s="183"/>
      <c r="DQ120" s="183"/>
      <c r="DR120" s="183"/>
      <c r="DS120" s="183"/>
      <c r="DT120" s="374">
        <f>SUM(Y120:DS120)</f>
        <v>32190.570106199993</v>
      </c>
      <c r="DU120" s="375"/>
      <c r="DV120" s="376"/>
    </row>
    <row r="121" spans="1:130" s="138" customFormat="1" ht="11.25" customHeight="1">
      <c r="A121" s="394"/>
      <c r="B121" s="376"/>
      <c r="C121" s="376"/>
      <c r="F121" s="376"/>
      <c r="G121" s="376"/>
      <c r="H121" s="376"/>
      <c r="I121" s="376"/>
      <c r="J121" s="376"/>
      <c r="K121" s="391"/>
      <c r="L121" s="391"/>
      <c r="M121" s="376"/>
      <c r="T121" s="178"/>
      <c r="U121" s="178"/>
      <c r="V121" s="521" t="s">
        <v>283</v>
      </c>
      <c r="W121" s="487"/>
      <c r="X121" s="395">
        <f t="shared" ref="X121:AQ121" si="80">SUM(X17:X34)*X125/X117</f>
        <v>24.597091800000001</v>
      </c>
      <c r="Y121" s="395">
        <f t="shared" si="80"/>
        <v>68.871857039999995</v>
      </c>
      <c r="Z121" s="395">
        <f t="shared" si="80"/>
        <v>121.34565288</v>
      </c>
      <c r="AA121" s="395">
        <f t="shared" si="80"/>
        <v>174.41944872000008</v>
      </c>
      <c r="AB121" s="395">
        <f t="shared" si="80"/>
        <v>227.53324456000001</v>
      </c>
      <c r="AC121" s="395">
        <f t="shared" si="80"/>
        <v>2583.3746389999997</v>
      </c>
      <c r="AD121" s="395">
        <f t="shared" si="80"/>
        <v>4919.7583600000016</v>
      </c>
      <c r="AE121" s="395">
        <f t="shared" si="80"/>
        <v>4947.9183600000006</v>
      </c>
      <c r="AF121" s="395">
        <f t="shared" si="80"/>
        <v>4947.51836</v>
      </c>
      <c r="AG121" s="395">
        <f t="shared" si="80"/>
        <v>4894.5812682000005</v>
      </c>
      <c r="AH121" s="395">
        <f t="shared" si="80"/>
        <v>4865.4480540000004</v>
      </c>
      <c r="AI121" s="395">
        <f t="shared" si="80"/>
        <v>4756.2142581600001</v>
      </c>
      <c r="AJ121" s="395">
        <f t="shared" si="80"/>
        <v>4703.9804623200007</v>
      </c>
      <c r="AK121" s="395">
        <f t="shared" si="80"/>
        <v>2376.0790678800004</v>
      </c>
      <c r="AL121" s="395">
        <f t="shared" si="80"/>
        <v>2356.4013944400003</v>
      </c>
      <c r="AM121" s="395">
        <f t="shared" si="80"/>
        <v>2336.7237209999998</v>
      </c>
      <c r="AN121" s="395">
        <f t="shared" si="80"/>
        <v>0</v>
      </c>
      <c r="AO121" s="395">
        <f t="shared" si="80"/>
        <v>0</v>
      </c>
      <c r="AP121" s="395">
        <f t="shared" si="80"/>
        <v>0</v>
      </c>
      <c r="AQ121" s="395">
        <f t="shared" si="80"/>
        <v>0</v>
      </c>
      <c r="AR121" s="395"/>
      <c r="AS121" s="395"/>
      <c r="AT121" s="395"/>
      <c r="AU121" s="395"/>
      <c r="AV121" s="395"/>
      <c r="AW121" s="395"/>
      <c r="AX121" s="395"/>
      <c r="AY121" s="395"/>
      <c r="AZ121" s="395"/>
      <c r="BA121" s="395"/>
      <c r="BB121" s="395"/>
      <c r="BC121" s="395"/>
      <c r="BD121" s="395"/>
      <c r="BE121" s="395"/>
      <c r="BF121" s="395"/>
      <c r="BG121" s="183"/>
      <c r="BH121" s="183"/>
      <c r="BI121" s="183"/>
      <c r="BJ121" s="183"/>
      <c r="BK121" s="183"/>
      <c r="BL121" s="183"/>
      <c r="BM121" s="183"/>
      <c r="BN121" s="183"/>
      <c r="BO121" s="183"/>
      <c r="BP121" s="183"/>
      <c r="BQ121" s="183"/>
      <c r="BR121" s="183"/>
      <c r="BS121" s="183"/>
      <c r="BT121" s="183"/>
      <c r="BU121" s="183"/>
      <c r="BV121" s="183"/>
      <c r="BW121" s="183"/>
      <c r="BX121" s="183"/>
      <c r="BY121" s="183"/>
      <c r="BZ121" s="183"/>
      <c r="CA121" s="183"/>
      <c r="CB121" s="183"/>
      <c r="CC121" s="183"/>
      <c r="CD121" s="183"/>
      <c r="CE121" s="183"/>
      <c r="CF121" s="183"/>
      <c r="CG121" s="183"/>
      <c r="CH121" s="183"/>
      <c r="CI121" s="183"/>
      <c r="CJ121" s="183"/>
      <c r="CK121" s="183"/>
      <c r="CL121" s="183"/>
      <c r="CM121" s="183"/>
      <c r="CN121" s="183"/>
      <c r="CO121" s="183"/>
      <c r="CP121" s="183"/>
      <c r="CQ121" s="183"/>
      <c r="CR121" s="183"/>
      <c r="CS121" s="183"/>
      <c r="CT121" s="183"/>
      <c r="CU121" s="183"/>
      <c r="CV121" s="183"/>
      <c r="CW121" s="183"/>
      <c r="CX121" s="183"/>
      <c r="CY121" s="183"/>
      <c r="CZ121" s="183"/>
      <c r="DA121" s="183"/>
      <c r="DB121" s="183"/>
      <c r="DC121" s="183"/>
      <c r="DD121" s="183"/>
      <c r="DE121" s="183"/>
      <c r="DF121" s="183"/>
      <c r="DG121" s="183"/>
      <c r="DH121" s="183"/>
      <c r="DI121" s="183"/>
      <c r="DJ121" s="183"/>
      <c r="DK121" s="183"/>
      <c r="DL121" s="183"/>
      <c r="DM121" s="183"/>
      <c r="DN121" s="183"/>
      <c r="DO121" s="183"/>
      <c r="DP121" s="183"/>
      <c r="DQ121" s="183"/>
      <c r="DR121" s="183"/>
      <c r="DS121" s="183"/>
      <c r="DT121" s="374">
        <f>SUM(Y121:DS121)</f>
        <v>44280.168148200006</v>
      </c>
      <c r="DU121" s="375"/>
      <c r="DV121" s="376"/>
    </row>
    <row r="122" spans="1:130" s="138" customFormat="1" ht="11.25" customHeight="1">
      <c r="A122" s="394"/>
      <c r="B122" s="376"/>
      <c r="C122" s="376"/>
      <c r="F122" s="376"/>
      <c r="G122" s="376"/>
      <c r="H122" s="376"/>
      <c r="I122" s="376"/>
      <c r="J122" s="376"/>
      <c r="K122" s="391"/>
      <c r="L122" s="391"/>
      <c r="M122" s="376"/>
      <c r="T122" s="178"/>
      <c r="U122" s="178"/>
      <c r="V122" s="521" t="s">
        <v>284</v>
      </c>
      <c r="W122" s="487"/>
      <c r="X122" s="395">
        <f t="shared" ref="X122:AQ122" si="81">SUM(X51:X68)*X125/X117</f>
        <v>0</v>
      </c>
      <c r="Y122" s="395">
        <f t="shared" si="81"/>
        <v>24.297091799999997</v>
      </c>
      <c r="Z122" s="395">
        <f t="shared" si="81"/>
        <v>68.031857040000006</v>
      </c>
      <c r="AA122" s="395">
        <f t="shared" si="81"/>
        <v>119.86565288000001</v>
      </c>
      <c r="AB122" s="395">
        <f t="shared" si="81"/>
        <v>172.29944872000002</v>
      </c>
      <c r="AC122" s="395">
        <f t="shared" si="81"/>
        <v>224.77324456000002</v>
      </c>
      <c r="AD122" s="395">
        <f t="shared" si="81"/>
        <v>2553.6746389999998</v>
      </c>
      <c r="AE122" s="395">
        <f t="shared" si="81"/>
        <v>4863.1783600000008</v>
      </c>
      <c r="AF122" s="395">
        <f t="shared" si="81"/>
        <v>4892.5583600000009</v>
      </c>
      <c r="AG122" s="395">
        <f t="shared" si="81"/>
        <v>4893.4383600000019</v>
      </c>
      <c r="AH122" s="395">
        <f t="shared" si="81"/>
        <v>4925.7812682000013</v>
      </c>
      <c r="AI122" s="395">
        <f t="shared" si="81"/>
        <v>4867.928054</v>
      </c>
      <c r="AJ122" s="395">
        <f t="shared" si="81"/>
        <v>4843.3142581600005</v>
      </c>
      <c r="AK122" s="395">
        <f t="shared" si="81"/>
        <v>4790.200462320001</v>
      </c>
      <c r="AL122" s="395">
        <f t="shared" si="81"/>
        <v>2405.0590678799999</v>
      </c>
      <c r="AM122" s="395">
        <f t="shared" si="81"/>
        <v>2385.1413944400001</v>
      </c>
      <c r="AN122" s="395">
        <f t="shared" si="81"/>
        <v>2365.2237210000003</v>
      </c>
      <c r="AO122" s="395">
        <f t="shared" si="81"/>
        <v>0</v>
      </c>
      <c r="AP122" s="395">
        <f t="shared" si="81"/>
        <v>0</v>
      </c>
      <c r="AQ122" s="395">
        <f t="shared" si="81"/>
        <v>0</v>
      </c>
      <c r="AR122" s="395"/>
      <c r="AS122" s="395"/>
      <c r="AT122" s="395"/>
      <c r="AU122" s="395"/>
      <c r="AV122" s="395"/>
      <c r="AW122" s="395"/>
      <c r="AX122" s="395"/>
      <c r="AY122" s="395"/>
      <c r="AZ122" s="395"/>
      <c r="BA122" s="395"/>
      <c r="BB122" s="395"/>
      <c r="BC122" s="395"/>
      <c r="BD122" s="395"/>
      <c r="BE122" s="395"/>
      <c r="BF122" s="395"/>
      <c r="BG122" s="183"/>
      <c r="BH122" s="183"/>
      <c r="BI122" s="183"/>
      <c r="BJ122" s="183"/>
      <c r="BK122" s="183"/>
      <c r="BL122" s="183"/>
      <c r="BM122" s="183"/>
      <c r="BN122" s="183"/>
      <c r="BO122" s="183"/>
      <c r="BP122" s="183"/>
      <c r="BQ122" s="183"/>
      <c r="BR122" s="183"/>
      <c r="BS122" s="183"/>
      <c r="BT122" s="183"/>
      <c r="BU122" s="183"/>
      <c r="BV122" s="183"/>
      <c r="BW122" s="183"/>
      <c r="BX122" s="183"/>
      <c r="BY122" s="183"/>
      <c r="BZ122" s="183"/>
      <c r="CA122" s="183"/>
      <c r="CB122" s="183"/>
      <c r="CC122" s="183"/>
      <c r="CD122" s="183"/>
      <c r="CE122" s="183"/>
      <c r="CF122" s="183"/>
      <c r="CG122" s="183"/>
      <c r="CH122" s="183"/>
      <c r="CI122" s="183"/>
      <c r="CJ122" s="183"/>
      <c r="CK122" s="183"/>
      <c r="CL122" s="183"/>
      <c r="CM122" s="183"/>
      <c r="CN122" s="183"/>
      <c r="CO122" s="183"/>
      <c r="CP122" s="183"/>
      <c r="CQ122" s="183"/>
      <c r="CR122" s="183"/>
      <c r="CS122" s="183"/>
      <c r="CT122" s="183"/>
      <c r="CU122" s="183"/>
      <c r="CV122" s="183"/>
      <c r="CW122" s="183"/>
      <c r="CX122" s="183"/>
      <c r="CY122" s="183"/>
      <c r="CZ122" s="183"/>
      <c r="DA122" s="183"/>
      <c r="DB122" s="183"/>
      <c r="DC122" s="183"/>
      <c r="DD122" s="183"/>
      <c r="DE122" s="183"/>
      <c r="DF122" s="183"/>
      <c r="DG122" s="183"/>
      <c r="DH122" s="183"/>
      <c r="DI122" s="183"/>
      <c r="DJ122" s="183"/>
      <c r="DK122" s="183"/>
      <c r="DL122" s="183"/>
      <c r="DM122" s="183"/>
      <c r="DN122" s="183"/>
      <c r="DO122" s="183"/>
      <c r="DP122" s="183"/>
      <c r="DQ122" s="183"/>
      <c r="DR122" s="183"/>
      <c r="DS122" s="183"/>
      <c r="DT122" s="374"/>
      <c r="DU122" s="375"/>
      <c r="DV122" s="376"/>
    </row>
    <row r="123" spans="1:130" s="138" customFormat="1" ht="11.25" customHeight="1">
      <c r="A123" s="394"/>
      <c r="B123" s="376"/>
      <c r="C123" s="376"/>
      <c r="F123" s="376"/>
      <c r="G123" s="376"/>
      <c r="H123" s="376"/>
      <c r="I123" s="376"/>
      <c r="J123" s="376"/>
      <c r="K123" s="391"/>
      <c r="L123" s="391"/>
      <c r="M123" s="376"/>
      <c r="T123" s="178"/>
      <c r="U123" s="178"/>
      <c r="V123" s="521" t="s">
        <v>286</v>
      </c>
      <c r="W123" s="487"/>
      <c r="X123" s="395">
        <f t="shared" ref="X123:AQ123" si="82">SUM(X69:X116)*X125/X117</f>
        <v>0</v>
      </c>
      <c r="Y123" s="395">
        <f t="shared" si="82"/>
        <v>19.816934999999997</v>
      </c>
      <c r="Z123" s="395">
        <f t="shared" si="82"/>
        <v>55.487417999999998</v>
      </c>
      <c r="AA123" s="395">
        <f t="shared" si="82"/>
        <v>180.99467300000001</v>
      </c>
      <c r="AB123" s="395">
        <f t="shared" si="82"/>
        <v>2119.6965609999988</v>
      </c>
      <c r="AC123" s="395">
        <f t="shared" si="82"/>
        <v>2170.4262369999983</v>
      </c>
      <c r="AD123" s="395">
        <f t="shared" si="82"/>
        <v>3953.811189999999</v>
      </c>
      <c r="AE123" s="395">
        <f t="shared" si="82"/>
        <v>5915.6877549999999</v>
      </c>
      <c r="AF123" s="395">
        <f t="shared" si="82"/>
        <v>5862.7271110000001</v>
      </c>
      <c r="AG123" s="395">
        <f t="shared" si="82"/>
        <v>7605.8359360000013</v>
      </c>
      <c r="AH123" s="395">
        <f t="shared" si="82"/>
        <v>7547.4670630000019</v>
      </c>
      <c r="AI123" s="395">
        <f t="shared" si="82"/>
        <v>7791.0754510000015</v>
      </c>
      <c r="AJ123" s="395">
        <f t="shared" si="82"/>
        <v>7697.9572240000025</v>
      </c>
      <c r="AK123" s="395">
        <f t="shared" si="82"/>
        <v>9353.2504059999956</v>
      </c>
      <c r="AL123" s="395">
        <f t="shared" si="82"/>
        <v>7544.8851310000009</v>
      </c>
      <c r="AM123" s="395">
        <f t="shared" si="82"/>
        <v>5744.1832429999995</v>
      </c>
      <c r="AN123" s="395">
        <f t="shared" si="82"/>
        <v>7188.3720720000001</v>
      </c>
      <c r="AO123" s="395">
        <f>SUM(AO69:AO116)*AO125/AO117</f>
        <v>7274.7423959999987</v>
      </c>
      <c r="AP123" s="395">
        <f t="shared" si="82"/>
        <v>1754.7623729999998</v>
      </c>
      <c r="AQ123" s="395">
        <f t="shared" si="82"/>
        <v>1740.1088249999998</v>
      </c>
      <c r="AR123" s="395"/>
      <c r="AS123" s="395"/>
      <c r="AT123" s="395"/>
      <c r="AU123" s="395"/>
      <c r="AV123" s="395"/>
      <c r="AW123" s="395"/>
      <c r="AX123" s="395"/>
      <c r="AY123" s="395"/>
      <c r="AZ123" s="395"/>
      <c r="BA123" s="395"/>
      <c r="BB123" s="395"/>
      <c r="BC123" s="395"/>
      <c r="BD123" s="395"/>
      <c r="BE123" s="395"/>
      <c r="BF123" s="395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/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3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183"/>
      <c r="DN123" s="183"/>
      <c r="DO123" s="183"/>
      <c r="DP123" s="183"/>
      <c r="DQ123" s="183"/>
      <c r="DR123" s="183"/>
      <c r="DS123" s="183"/>
      <c r="DT123" s="374"/>
      <c r="DU123" s="375"/>
      <c r="DV123" s="376"/>
    </row>
    <row r="124" spans="1:130" s="138" customFormat="1" ht="11.25" customHeight="1">
      <c r="A124" s="394"/>
      <c r="B124" s="376"/>
      <c r="C124" s="376"/>
      <c r="F124" s="376"/>
      <c r="G124" s="376"/>
      <c r="H124" s="376"/>
      <c r="I124" s="376"/>
      <c r="J124" s="376"/>
      <c r="K124" s="391"/>
      <c r="L124" s="391"/>
      <c r="M124" s="376"/>
      <c r="T124" s="178"/>
      <c r="U124" s="178"/>
      <c r="V124" s="184"/>
      <c r="W124" s="185"/>
      <c r="X124" s="395"/>
      <c r="Y124" s="395"/>
      <c r="Z124" s="186"/>
      <c r="AA124" s="183"/>
      <c r="AB124" s="183"/>
      <c r="AC124" s="183"/>
      <c r="AD124" s="183"/>
      <c r="AE124" s="183"/>
      <c r="AF124" s="183"/>
      <c r="AG124" s="183"/>
      <c r="AH124" s="183"/>
      <c r="AI124" s="183"/>
      <c r="AJ124" s="183"/>
      <c r="AK124" s="183"/>
      <c r="AL124" s="183"/>
      <c r="AM124" s="183"/>
      <c r="AN124" s="183"/>
      <c r="AO124" s="183"/>
      <c r="AP124" s="183"/>
      <c r="AQ124" s="183"/>
      <c r="AR124" s="183"/>
      <c r="AS124" s="183"/>
      <c r="AT124" s="183"/>
      <c r="AU124" s="183"/>
      <c r="AV124" s="183"/>
      <c r="AW124" s="183"/>
      <c r="AX124" s="183"/>
      <c r="AY124" s="183"/>
      <c r="AZ124" s="183"/>
      <c r="BA124" s="183"/>
      <c r="BB124" s="183"/>
      <c r="BC124" s="183"/>
      <c r="BD124" s="183"/>
      <c r="BE124" s="183"/>
      <c r="BF124" s="183"/>
      <c r="BG124" s="183"/>
      <c r="BH124" s="183"/>
      <c r="BI124" s="183"/>
      <c r="BJ124" s="183"/>
      <c r="BK124" s="183"/>
      <c r="BL124" s="183"/>
      <c r="BM124" s="183"/>
      <c r="BN124" s="183"/>
      <c r="BO124" s="183"/>
      <c r="BP124" s="183"/>
      <c r="BQ124" s="183"/>
      <c r="BR124" s="183"/>
      <c r="BS124" s="183"/>
      <c r="BT124" s="183"/>
      <c r="BU124" s="183"/>
      <c r="BV124" s="183"/>
      <c r="BW124" s="183"/>
      <c r="BX124" s="183"/>
      <c r="BY124" s="183"/>
      <c r="BZ124" s="183"/>
      <c r="CA124" s="183"/>
      <c r="CB124" s="183"/>
      <c r="CC124" s="183"/>
      <c r="CD124" s="183"/>
      <c r="CE124" s="183"/>
      <c r="CF124" s="183"/>
      <c r="CG124" s="183"/>
      <c r="CH124" s="183"/>
      <c r="CI124" s="183"/>
      <c r="CJ124" s="183"/>
      <c r="CK124" s="183"/>
      <c r="CL124" s="183"/>
      <c r="CM124" s="183"/>
      <c r="CN124" s="183"/>
      <c r="CO124" s="183"/>
      <c r="CP124" s="183"/>
      <c r="CQ124" s="183"/>
      <c r="CR124" s="183"/>
      <c r="CS124" s="183"/>
      <c r="CT124" s="183"/>
      <c r="CU124" s="183"/>
      <c r="CV124" s="183"/>
      <c r="CW124" s="183"/>
      <c r="CX124" s="183"/>
      <c r="CY124" s="183"/>
      <c r="CZ124" s="183"/>
      <c r="DA124" s="183"/>
      <c r="DB124" s="183"/>
      <c r="DC124" s="183"/>
      <c r="DD124" s="183"/>
      <c r="DE124" s="183"/>
      <c r="DF124" s="183"/>
      <c r="DG124" s="183"/>
      <c r="DH124" s="183"/>
      <c r="DI124" s="183"/>
      <c r="DJ124" s="183"/>
      <c r="DK124" s="183"/>
      <c r="DL124" s="183"/>
      <c r="DM124" s="183"/>
      <c r="DN124" s="183"/>
      <c r="DO124" s="183"/>
      <c r="DP124" s="183"/>
      <c r="DQ124" s="183"/>
      <c r="DR124" s="183"/>
      <c r="DS124" s="183"/>
      <c r="DT124" s="374">
        <f>SUM(Y124:DS124)</f>
        <v>0</v>
      </c>
      <c r="DU124" s="375"/>
      <c r="DV124" s="376"/>
    </row>
    <row r="125" spans="1:130" s="138" customFormat="1" ht="12" customHeight="1">
      <c r="A125" s="394"/>
      <c r="B125" s="376"/>
      <c r="C125" s="376"/>
      <c r="F125" s="376"/>
      <c r="G125" s="376"/>
      <c r="H125" s="376"/>
      <c r="I125" s="376"/>
      <c r="J125" s="376"/>
      <c r="K125" s="391"/>
      <c r="L125" s="391"/>
      <c r="M125" s="376"/>
      <c r="T125" s="178"/>
      <c r="U125" s="178"/>
      <c r="V125" s="178"/>
      <c r="W125" s="396">
        <f>'PRESUPUESTO GENERAL'!H49</f>
        <v>212431.58</v>
      </c>
      <c r="X125" s="187">
        <f t="shared" ref="X125:BC125" si="83">X117*0.03</f>
        <v>44.785065600000003</v>
      </c>
      <c r="Y125" s="187">
        <f t="shared" si="83"/>
        <v>149.32423668000001</v>
      </c>
      <c r="Z125" s="187">
        <f t="shared" si="83"/>
        <v>308.12057916000003</v>
      </c>
      <c r="AA125" s="187">
        <f t="shared" si="83"/>
        <v>619.28732104000005</v>
      </c>
      <c r="AB125" s="187">
        <f t="shared" si="83"/>
        <v>4516.4927955600006</v>
      </c>
      <c r="AC125" s="187">
        <f t="shared" si="83"/>
        <v>6995.3256356400016</v>
      </c>
      <c r="AD125" s="187">
        <f t="shared" si="83"/>
        <v>13523.847599279992</v>
      </c>
      <c r="AE125" s="187">
        <f t="shared" si="83"/>
        <v>17823.005183679998</v>
      </c>
      <c r="AF125" s="187">
        <f t="shared" si="83"/>
        <v>19652.68053451999</v>
      </c>
      <c r="AG125" s="187">
        <f t="shared" si="83"/>
        <v>19534.826651919993</v>
      </c>
      <c r="AH125" s="187">
        <f t="shared" si="83"/>
        <v>21377.237010119996</v>
      </c>
      <c r="AI125" s="187">
        <f t="shared" si="83"/>
        <v>23243.758731679995</v>
      </c>
      <c r="AJ125" s="187">
        <f t="shared" si="83"/>
        <v>17320.220379999999</v>
      </c>
      <c r="AK125" s="187">
        <f t="shared" si="83"/>
        <v>20359.045716279998</v>
      </c>
      <c r="AL125" s="187">
        <f t="shared" si="83"/>
        <v>14240.353483359992</v>
      </c>
      <c r="AM125" s="187">
        <f t="shared" si="83"/>
        <v>10482.198737479996</v>
      </c>
      <c r="AN125" s="187">
        <f t="shared" si="83"/>
        <v>11471.453303999997</v>
      </c>
      <c r="AO125" s="187">
        <f t="shared" si="83"/>
        <v>7274.7423959999987</v>
      </c>
      <c r="AP125" s="187">
        <f t="shared" si="83"/>
        <v>1754.7623729999998</v>
      </c>
      <c r="AQ125" s="187">
        <f t="shared" si="83"/>
        <v>1740.1088249999998</v>
      </c>
      <c r="AR125" s="187">
        <f t="shared" si="83"/>
        <v>0</v>
      </c>
      <c r="AS125" s="187">
        <f t="shared" si="83"/>
        <v>0</v>
      </c>
      <c r="AT125" s="187">
        <f t="shared" si="83"/>
        <v>0</v>
      </c>
      <c r="AU125" s="187">
        <f t="shared" si="83"/>
        <v>0</v>
      </c>
      <c r="AV125" s="187">
        <f t="shared" si="83"/>
        <v>0</v>
      </c>
      <c r="AW125" s="187">
        <f t="shared" si="83"/>
        <v>0</v>
      </c>
      <c r="AX125" s="187">
        <f t="shared" si="83"/>
        <v>0</v>
      </c>
      <c r="AY125" s="187">
        <f t="shared" si="83"/>
        <v>0</v>
      </c>
      <c r="AZ125" s="187">
        <f t="shared" si="83"/>
        <v>0</v>
      </c>
      <c r="BA125" s="187">
        <f t="shared" si="83"/>
        <v>0</v>
      </c>
      <c r="BB125" s="187">
        <f t="shared" si="83"/>
        <v>0</v>
      </c>
      <c r="BC125" s="187">
        <f t="shared" si="83"/>
        <v>0</v>
      </c>
      <c r="BD125" s="187">
        <f t="shared" ref="BD125:CI125" si="84">BD117*0.03</f>
        <v>0</v>
      </c>
      <c r="BE125" s="187">
        <f t="shared" si="84"/>
        <v>0</v>
      </c>
      <c r="BF125" s="187">
        <f t="shared" si="84"/>
        <v>0</v>
      </c>
      <c r="BG125" s="187">
        <f t="shared" si="84"/>
        <v>0</v>
      </c>
      <c r="BH125" s="187">
        <f t="shared" si="84"/>
        <v>0</v>
      </c>
      <c r="BI125" s="187">
        <f t="shared" si="84"/>
        <v>0</v>
      </c>
      <c r="BJ125" s="187">
        <f t="shared" si="84"/>
        <v>0</v>
      </c>
      <c r="BK125" s="187">
        <f t="shared" si="84"/>
        <v>0</v>
      </c>
      <c r="BL125" s="187">
        <f t="shared" si="84"/>
        <v>0</v>
      </c>
      <c r="BM125" s="187">
        <f t="shared" si="84"/>
        <v>0</v>
      </c>
      <c r="BN125" s="187">
        <f t="shared" si="84"/>
        <v>0</v>
      </c>
      <c r="BO125" s="187">
        <f t="shared" si="84"/>
        <v>0</v>
      </c>
      <c r="BP125" s="187">
        <f t="shared" si="84"/>
        <v>0</v>
      </c>
      <c r="BQ125" s="187">
        <f t="shared" si="84"/>
        <v>0</v>
      </c>
      <c r="BR125" s="187">
        <f t="shared" si="84"/>
        <v>0</v>
      </c>
      <c r="BS125" s="187">
        <f t="shared" si="84"/>
        <v>0</v>
      </c>
      <c r="BT125" s="187">
        <f t="shared" si="84"/>
        <v>0</v>
      </c>
      <c r="BU125" s="187">
        <f t="shared" si="84"/>
        <v>0</v>
      </c>
      <c r="BV125" s="187">
        <f t="shared" si="84"/>
        <v>0</v>
      </c>
      <c r="BW125" s="187">
        <f t="shared" si="84"/>
        <v>0</v>
      </c>
      <c r="BX125" s="187">
        <f t="shared" si="84"/>
        <v>0</v>
      </c>
      <c r="BY125" s="187">
        <f t="shared" si="84"/>
        <v>0</v>
      </c>
      <c r="BZ125" s="187">
        <f t="shared" si="84"/>
        <v>0</v>
      </c>
      <c r="CA125" s="187">
        <f t="shared" si="84"/>
        <v>0</v>
      </c>
      <c r="CB125" s="187">
        <f t="shared" si="84"/>
        <v>0</v>
      </c>
      <c r="CC125" s="187">
        <f t="shared" si="84"/>
        <v>0</v>
      </c>
      <c r="CD125" s="187">
        <f t="shared" si="84"/>
        <v>0</v>
      </c>
      <c r="CE125" s="187">
        <f t="shared" si="84"/>
        <v>0</v>
      </c>
      <c r="CF125" s="187">
        <f t="shared" si="84"/>
        <v>0</v>
      </c>
      <c r="CG125" s="187">
        <f t="shared" si="84"/>
        <v>0</v>
      </c>
      <c r="CH125" s="187">
        <f t="shared" si="84"/>
        <v>0</v>
      </c>
      <c r="CI125" s="187">
        <f t="shared" si="84"/>
        <v>0</v>
      </c>
      <c r="CJ125" s="187">
        <f t="shared" ref="CJ125:DS125" si="85">CJ117*0.03</f>
        <v>0</v>
      </c>
      <c r="CK125" s="187">
        <f t="shared" si="85"/>
        <v>0</v>
      </c>
      <c r="CL125" s="187">
        <f t="shared" si="85"/>
        <v>0</v>
      </c>
      <c r="CM125" s="187">
        <f t="shared" si="85"/>
        <v>0</v>
      </c>
      <c r="CN125" s="187">
        <f t="shared" si="85"/>
        <v>0</v>
      </c>
      <c r="CO125" s="187">
        <f t="shared" si="85"/>
        <v>0</v>
      </c>
      <c r="CP125" s="187">
        <f t="shared" si="85"/>
        <v>0</v>
      </c>
      <c r="CQ125" s="187">
        <f t="shared" si="85"/>
        <v>0</v>
      </c>
      <c r="CR125" s="187">
        <f t="shared" si="85"/>
        <v>0</v>
      </c>
      <c r="CS125" s="187">
        <f t="shared" si="85"/>
        <v>0</v>
      </c>
      <c r="CT125" s="187">
        <f t="shared" si="85"/>
        <v>0</v>
      </c>
      <c r="CU125" s="187">
        <f t="shared" si="85"/>
        <v>0</v>
      </c>
      <c r="CV125" s="187">
        <f t="shared" si="85"/>
        <v>0</v>
      </c>
      <c r="CW125" s="187">
        <f t="shared" si="85"/>
        <v>0</v>
      </c>
      <c r="CX125" s="187">
        <f t="shared" si="85"/>
        <v>0</v>
      </c>
      <c r="CY125" s="187">
        <f t="shared" si="85"/>
        <v>0</v>
      </c>
      <c r="CZ125" s="187">
        <f t="shared" si="85"/>
        <v>0</v>
      </c>
      <c r="DA125" s="187">
        <f t="shared" si="85"/>
        <v>0</v>
      </c>
      <c r="DB125" s="187">
        <f t="shared" si="85"/>
        <v>0</v>
      </c>
      <c r="DC125" s="187">
        <f t="shared" si="85"/>
        <v>0</v>
      </c>
      <c r="DD125" s="187">
        <f t="shared" si="85"/>
        <v>0</v>
      </c>
      <c r="DE125" s="187">
        <f t="shared" si="85"/>
        <v>0</v>
      </c>
      <c r="DF125" s="187">
        <f t="shared" si="85"/>
        <v>0</v>
      </c>
      <c r="DG125" s="187">
        <f t="shared" si="85"/>
        <v>0</v>
      </c>
      <c r="DH125" s="187">
        <f t="shared" si="85"/>
        <v>0</v>
      </c>
      <c r="DI125" s="187">
        <f t="shared" si="85"/>
        <v>0</v>
      </c>
      <c r="DJ125" s="187">
        <f t="shared" si="85"/>
        <v>0</v>
      </c>
      <c r="DK125" s="187">
        <f t="shared" si="85"/>
        <v>0</v>
      </c>
      <c r="DL125" s="187">
        <f t="shared" si="85"/>
        <v>0</v>
      </c>
      <c r="DM125" s="187">
        <f t="shared" si="85"/>
        <v>0</v>
      </c>
      <c r="DN125" s="187">
        <f t="shared" si="85"/>
        <v>0</v>
      </c>
      <c r="DO125" s="187">
        <f t="shared" si="85"/>
        <v>0</v>
      </c>
      <c r="DP125" s="187">
        <f t="shared" si="85"/>
        <v>0</v>
      </c>
      <c r="DQ125" s="187">
        <f t="shared" si="85"/>
        <v>0</v>
      </c>
      <c r="DR125" s="187">
        <f t="shared" si="85"/>
        <v>0</v>
      </c>
      <c r="DS125" s="187">
        <f t="shared" si="85"/>
        <v>0</v>
      </c>
      <c r="DT125" s="187">
        <f>SUM(X125:DS125)</f>
        <v>212431.57655999996</v>
      </c>
      <c r="DU125" s="375">
        <f>+W125-DT125</f>
        <v>3.4400000295136124E-3</v>
      </c>
      <c r="DX125" s="397"/>
    </row>
    <row r="126" spans="1:130" s="138" customFormat="1" ht="12" customHeight="1">
      <c r="A126" s="394"/>
      <c r="B126" s="376"/>
      <c r="C126" s="376"/>
      <c r="F126" s="376"/>
      <c r="G126" s="376"/>
      <c r="H126" s="376"/>
      <c r="I126" s="376"/>
      <c r="J126" s="376"/>
      <c r="K126" s="391"/>
      <c r="L126" s="391"/>
      <c r="M126" s="376"/>
      <c r="T126" s="178"/>
      <c r="U126" s="178"/>
      <c r="W126" s="178"/>
      <c r="DY126" s="376"/>
    </row>
    <row r="127" spans="1:130" s="138" customFormat="1" ht="12" customHeight="1">
      <c r="A127" s="394"/>
      <c r="B127" s="376"/>
      <c r="C127" s="376"/>
      <c r="F127" s="376"/>
      <c r="G127" s="376"/>
      <c r="H127" s="376"/>
      <c r="I127" s="376"/>
      <c r="J127" s="376"/>
      <c r="K127" s="391"/>
      <c r="L127" s="391"/>
      <c r="M127" s="376"/>
      <c r="T127" s="178"/>
      <c r="U127" s="178"/>
      <c r="V127" s="181" t="s">
        <v>487</v>
      </c>
      <c r="W127" s="178"/>
      <c r="DY127" s="376"/>
    </row>
    <row r="128" spans="1:130" s="138" customFormat="1" ht="12" customHeight="1">
      <c r="A128" s="394"/>
      <c r="B128" s="376"/>
      <c r="C128" s="376"/>
      <c r="F128" s="376"/>
      <c r="G128" s="376"/>
      <c r="H128" s="376"/>
      <c r="I128" s="376"/>
      <c r="J128" s="376"/>
      <c r="K128" s="391"/>
      <c r="L128" s="391"/>
      <c r="M128" s="376"/>
      <c r="T128" s="178"/>
      <c r="U128" s="178"/>
      <c r="V128" s="521" t="s">
        <v>281</v>
      </c>
      <c r="W128" s="487"/>
      <c r="X128" s="395">
        <f t="shared" ref="X128:BC128" si="86">SUM(X35:X50)</f>
        <v>672.93245999999999</v>
      </c>
      <c r="Y128" s="395">
        <f t="shared" si="86"/>
        <v>1211.2784280000001</v>
      </c>
      <c r="Z128" s="395">
        <f t="shared" si="86"/>
        <v>2108.5217080000002</v>
      </c>
      <c r="AA128" s="395">
        <f t="shared" si="86"/>
        <v>4800.2515480000002</v>
      </c>
      <c r="AB128" s="395">
        <f t="shared" si="86"/>
        <v>66565.451375999983</v>
      </c>
      <c r="AC128" s="395">
        <f t="shared" si="86"/>
        <v>67225.050502666651</v>
      </c>
      <c r="AD128" s="395">
        <f t="shared" si="86"/>
        <v>69886.780342666651</v>
      </c>
      <c r="AE128" s="395">
        <f t="shared" si="86"/>
        <v>69874.02362266666</v>
      </c>
      <c r="AF128" s="395">
        <f t="shared" si="86"/>
        <v>131662.55678399999</v>
      </c>
      <c r="AG128" s="395">
        <f t="shared" si="86"/>
        <v>71365.702923999983</v>
      </c>
      <c r="AH128" s="395">
        <f t="shared" si="86"/>
        <v>134618.02083066668</v>
      </c>
      <c r="AI128" s="395">
        <f t="shared" si="86"/>
        <v>194284.69895066664</v>
      </c>
      <c r="AJ128" s="395">
        <f t="shared" si="86"/>
        <v>2498.9478506666665</v>
      </c>
      <c r="AK128" s="395">
        <f t="shared" si="86"/>
        <v>127983.85933599998</v>
      </c>
      <c r="AL128" s="395">
        <f t="shared" si="86"/>
        <v>64466.929667999997</v>
      </c>
      <c r="AM128" s="395">
        <f t="shared" si="86"/>
        <v>538.34596799999997</v>
      </c>
      <c r="AN128" s="395">
        <f t="shared" si="86"/>
        <v>63928.583699999996</v>
      </c>
      <c r="AO128" s="395">
        <f t="shared" si="86"/>
        <v>0</v>
      </c>
      <c r="AP128" s="395">
        <f t="shared" si="86"/>
        <v>0</v>
      </c>
      <c r="AQ128" s="395">
        <f t="shared" si="86"/>
        <v>0</v>
      </c>
      <c r="AR128" s="395">
        <f t="shared" si="86"/>
        <v>0</v>
      </c>
      <c r="AS128" s="395">
        <f t="shared" si="86"/>
        <v>0</v>
      </c>
      <c r="AT128" s="395">
        <f t="shared" si="86"/>
        <v>0</v>
      </c>
      <c r="AU128" s="395">
        <f t="shared" si="86"/>
        <v>0</v>
      </c>
      <c r="AV128" s="395">
        <f t="shared" si="86"/>
        <v>0</v>
      </c>
      <c r="AW128" s="395">
        <f t="shared" si="86"/>
        <v>0</v>
      </c>
      <c r="AX128" s="395">
        <f t="shared" si="86"/>
        <v>0</v>
      </c>
      <c r="AY128" s="395">
        <f t="shared" si="86"/>
        <v>0</v>
      </c>
      <c r="AZ128" s="395">
        <f t="shared" si="86"/>
        <v>0</v>
      </c>
      <c r="BA128" s="395">
        <f t="shared" si="86"/>
        <v>0</v>
      </c>
      <c r="BB128" s="395">
        <f t="shared" si="86"/>
        <v>0</v>
      </c>
      <c r="BC128" s="395">
        <f t="shared" si="86"/>
        <v>0</v>
      </c>
      <c r="BD128" s="395">
        <f t="shared" ref="BD128:CI128" si="87">SUM(BD35:BD50)</f>
        <v>0</v>
      </c>
      <c r="BE128" s="395">
        <f t="shared" si="87"/>
        <v>0</v>
      </c>
      <c r="BF128" s="395">
        <f t="shared" si="87"/>
        <v>0</v>
      </c>
      <c r="BG128" s="395">
        <f t="shared" si="87"/>
        <v>0</v>
      </c>
      <c r="BH128" s="395">
        <f t="shared" si="87"/>
        <v>0</v>
      </c>
      <c r="BI128" s="395">
        <f t="shared" si="87"/>
        <v>0</v>
      </c>
      <c r="BJ128" s="395">
        <f t="shared" si="87"/>
        <v>0</v>
      </c>
      <c r="BK128" s="395">
        <f t="shared" si="87"/>
        <v>0</v>
      </c>
      <c r="BL128" s="395">
        <f t="shared" si="87"/>
        <v>0</v>
      </c>
      <c r="BM128" s="395">
        <f t="shared" si="87"/>
        <v>0</v>
      </c>
      <c r="BN128" s="395">
        <f t="shared" si="87"/>
        <v>0</v>
      </c>
      <c r="BO128" s="395">
        <f t="shared" si="87"/>
        <v>0</v>
      </c>
      <c r="BP128" s="395">
        <f t="shared" si="87"/>
        <v>0</v>
      </c>
      <c r="BQ128" s="395">
        <f t="shared" si="87"/>
        <v>0</v>
      </c>
      <c r="BR128" s="395">
        <f t="shared" si="87"/>
        <v>0</v>
      </c>
      <c r="BS128" s="395">
        <f t="shared" si="87"/>
        <v>0</v>
      </c>
      <c r="BT128" s="395">
        <f t="shared" si="87"/>
        <v>0</v>
      </c>
      <c r="BU128" s="395">
        <f t="shared" si="87"/>
        <v>0</v>
      </c>
      <c r="BV128" s="395">
        <f t="shared" si="87"/>
        <v>0</v>
      </c>
      <c r="BW128" s="395">
        <f t="shared" si="87"/>
        <v>0</v>
      </c>
      <c r="BX128" s="395">
        <f t="shared" si="87"/>
        <v>0</v>
      </c>
      <c r="BY128" s="395">
        <f t="shared" si="87"/>
        <v>0</v>
      </c>
      <c r="BZ128" s="395">
        <f t="shared" si="87"/>
        <v>0</v>
      </c>
      <c r="CA128" s="395">
        <f t="shared" si="87"/>
        <v>0</v>
      </c>
      <c r="CB128" s="395">
        <f t="shared" si="87"/>
        <v>0</v>
      </c>
      <c r="CC128" s="395">
        <f t="shared" si="87"/>
        <v>0</v>
      </c>
      <c r="CD128" s="395">
        <f t="shared" si="87"/>
        <v>0</v>
      </c>
      <c r="CE128" s="395">
        <f t="shared" si="87"/>
        <v>0</v>
      </c>
      <c r="CF128" s="395">
        <f t="shared" si="87"/>
        <v>0</v>
      </c>
      <c r="CG128" s="395">
        <f t="shared" si="87"/>
        <v>0</v>
      </c>
      <c r="CH128" s="395">
        <f t="shared" si="87"/>
        <v>0</v>
      </c>
      <c r="CI128" s="395">
        <f t="shared" si="87"/>
        <v>0</v>
      </c>
      <c r="CJ128" s="395">
        <f t="shared" ref="CJ128:DS128" si="88">SUM(CJ35:CJ50)</f>
        <v>0</v>
      </c>
      <c r="CK128" s="395">
        <f t="shared" si="88"/>
        <v>0</v>
      </c>
      <c r="CL128" s="395">
        <f t="shared" si="88"/>
        <v>0</v>
      </c>
      <c r="CM128" s="395">
        <f t="shared" si="88"/>
        <v>0</v>
      </c>
      <c r="CN128" s="395">
        <f t="shared" si="88"/>
        <v>0</v>
      </c>
      <c r="CO128" s="395">
        <f t="shared" si="88"/>
        <v>0</v>
      </c>
      <c r="CP128" s="395">
        <f t="shared" si="88"/>
        <v>0</v>
      </c>
      <c r="CQ128" s="395">
        <f t="shared" si="88"/>
        <v>0</v>
      </c>
      <c r="CR128" s="395">
        <f t="shared" si="88"/>
        <v>0</v>
      </c>
      <c r="CS128" s="395">
        <f t="shared" si="88"/>
        <v>0</v>
      </c>
      <c r="CT128" s="395">
        <f t="shared" si="88"/>
        <v>0</v>
      </c>
      <c r="CU128" s="395">
        <f t="shared" si="88"/>
        <v>0</v>
      </c>
      <c r="CV128" s="395">
        <f t="shared" si="88"/>
        <v>0</v>
      </c>
      <c r="CW128" s="395">
        <f t="shared" si="88"/>
        <v>0</v>
      </c>
      <c r="CX128" s="395">
        <f t="shared" si="88"/>
        <v>0</v>
      </c>
      <c r="CY128" s="395">
        <f t="shared" si="88"/>
        <v>0</v>
      </c>
      <c r="CZ128" s="395">
        <f t="shared" si="88"/>
        <v>0</v>
      </c>
      <c r="DA128" s="395">
        <f t="shared" si="88"/>
        <v>0</v>
      </c>
      <c r="DB128" s="395">
        <f t="shared" si="88"/>
        <v>0</v>
      </c>
      <c r="DC128" s="395">
        <f t="shared" si="88"/>
        <v>0</v>
      </c>
      <c r="DD128" s="395">
        <f t="shared" si="88"/>
        <v>0</v>
      </c>
      <c r="DE128" s="395">
        <f t="shared" si="88"/>
        <v>0</v>
      </c>
      <c r="DF128" s="395">
        <f t="shared" si="88"/>
        <v>0</v>
      </c>
      <c r="DG128" s="395">
        <f t="shared" si="88"/>
        <v>0</v>
      </c>
      <c r="DH128" s="395">
        <f t="shared" si="88"/>
        <v>0</v>
      </c>
      <c r="DI128" s="395">
        <f t="shared" si="88"/>
        <v>0</v>
      </c>
      <c r="DJ128" s="395">
        <f t="shared" si="88"/>
        <v>0</v>
      </c>
      <c r="DK128" s="395">
        <f t="shared" si="88"/>
        <v>0</v>
      </c>
      <c r="DL128" s="395">
        <f t="shared" si="88"/>
        <v>0</v>
      </c>
      <c r="DM128" s="395">
        <f t="shared" si="88"/>
        <v>0</v>
      </c>
      <c r="DN128" s="395">
        <f t="shared" si="88"/>
        <v>0</v>
      </c>
      <c r="DO128" s="395">
        <f t="shared" si="88"/>
        <v>0</v>
      </c>
      <c r="DP128" s="395">
        <f t="shared" si="88"/>
        <v>0</v>
      </c>
      <c r="DQ128" s="395">
        <f t="shared" si="88"/>
        <v>0</v>
      </c>
      <c r="DR128" s="395">
        <f t="shared" si="88"/>
        <v>0</v>
      </c>
      <c r="DS128" s="395">
        <f t="shared" si="88"/>
        <v>0</v>
      </c>
      <c r="DY128" s="376"/>
    </row>
    <row r="129" spans="1:129" s="138" customFormat="1" ht="12" customHeight="1">
      <c r="A129" s="394"/>
      <c r="B129" s="376"/>
      <c r="C129" s="376"/>
      <c r="F129" s="376"/>
      <c r="G129" s="376"/>
      <c r="H129" s="376"/>
      <c r="I129" s="376"/>
      <c r="J129" s="376"/>
      <c r="K129" s="391"/>
      <c r="L129" s="391"/>
      <c r="M129" s="376"/>
      <c r="T129" s="178"/>
      <c r="U129" s="178"/>
      <c r="V129" s="521" t="s">
        <v>283</v>
      </c>
      <c r="W129" s="487"/>
      <c r="X129" s="395">
        <f t="shared" ref="X129:BC129" si="89">SUM(X17:X34)</f>
        <v>819.9030600000001</v>
      </c>
      <c r="Y129" s="395">
        <f t="shared" si="89"/>
        <v>2295.7285680000005</v>
      </c>
      <c r="Z129" s="395">
        <f t="shared" si="89"/>
        <v>4044.8550960000002</v>
      </c>
      <c r="AA129" s="395">
        <f t="shared" si="89"/>
        <v>5813.9816240000018</v>
      </c>
      <c r="AB129" s="395">
        <f t="shared" si="89"/>
        <v>7584.4414853333346</v>
      </c>
      <c r="AC129" s="395">
        <f t="shared" si="89"/>
        <v>86112.487966666667</v>
      </c>
      <c r="AD129" s="395">
        <f t="shared" si="89"/>
        <v>163991.94533333337</v>
      </c>
      <c r="AE129" s="395">
        <f t="shared" si="89"/>
        <v>164930.61200000002</v>
      </c>
      <c r="AF129" s="395">
        <f t="shared" si="89"/>
        <v>164917.27866666668</v>
      </c>
      <c r="AG129" s="395">
        <f t="shared" si="89"/>
        <v>163152.70894000001</v>
      </c>
      <c r="AH129" s="395">
        <f t="shared" si="89"/>
        <v>162181.6018</v>
      </c>
      <c r="AI129" s="395">
        <f t="shared" si="89"/>
        <v>158540.47527200001</v>
      </c>
      <c r="AJ129" s="395">
        <f t="shared" si="89"/>
        <v>156799.34874400002</v>
      </c>
      <c r="AK129" s="395">
        <f t="shared" si="89"/>
        <v>79202.635596000007</v>
      </c>
      <c r="AL129" s="395">
        <f t="shared" si="89"/>
        <v>78546.71314800001</v>
      </c>
      <c r="AM129" s="395">
        <f t="shared" si="89"/>
        <v>77890.790700000012</v>
      </c>
      <c r="AN129" s="395">
        <f t="shared" si="89"/>
        <v>0</v>
      </c>
      <c r="AO129" s="395">
        <f t="shared" si="89"/>
        <v>0</v>
      </c>
      <c r="AP129" s="395">
        <f t="shared" si="89"/>
        <v>0</v>
      </c>
      <c r="AQ129" s="395">
        <f t="shared" si="89"/>
        <v>0</v>
      </c>
      <c r="AR129" s="395">
        <f t="shared" si="89"/>
        <v>0</v>
      </c>
      <c r="AS129" s="395">
        <f t="shared" si="89"/>
        <v>0</v>
      </c>
      <c r="AT129" s="395">
        <f t="shared" si="89"/>
        <v>0</v>
      </c>
      <c r="AU129" s="395">
        <f t="shared" si="89"/>
        <v>0</v>
      </c>
      <c r="AV129" s="395">
        <f t="shared" si="89"/>
        <v>0</v>
      </c>
      <c r="AW129" s="395">
        <f t="shared" si="89"/>
        <v>0</v>
      </c>
      <c r="AX129" s="395">
        <f t="shared" si="89"/>
        <v>0</v>
      </c>
      <c r="AY129" s="395">
        <f t="shared" si="89"/>
        <v>0</v>
      </c>
      <c r="AZ129" s="395">
        <f t="shared" si="89"/>
        <v>0</v>
      </c>
      <c r="BA129" s="395">
        <f t="shared" si="89"/>
        <v>0</v>
      </c>
      <c r="BB129" s="395">
        <f t="shared" si="89"/>
        <v>0</v>
      </c>
      <c r="BC129" s="395">
        <f t="shared" si="89"/>
        <v>0</v>
      </c>
      <c r="BD129" s="395">
        <f t="shared" ref="BD129:CI129" si="90">SUM(BD17:BD34)</f>
        <v>0</v>
      </c>
      <c r="BE129" s="395">
        <f t="shared" si="90"/>
        <v>0</v>
      </c>
      <c r="BF129" s="395">
        <f t="shared" si="90"/>
        <v>0</v>
      </c>
      <c r="BG129" s="395">
        <f t="shared" si="90"/>
        <v>0</v>
      </c>
      <c r="BH129" s="395">
        <f t="shared" si="90"/>
        <v>0</v>
      </c>
      <c r="BI129" s="395">
        <f t="shared" si="90"/>
        <v>0</v>
      </c>
      <c r="BJ129" s="395">
        <f t="shared" si="90"/>
        <v>0</v>
      </c>
      <c r="BK129" s="395">
        <f t="shared" si="90"/>
        <v>0</v>
      </c>
      <c r="BL129" s="395">
        <f t="shared" si="90"/>
        <v>0</v>
      </c>
      <c r="BM129" s="395">
        <f t="shared" si="90"/>
        <v>0</v>
      </c>
      <c r="BN129" s="395">
        <f t="shared" si="90"/>
        <v>0</v>
      </c>
      <c r="BO129" s="395">
        <f t="shared" si="90"/>
        <v>0</v>
      </c>
      <c r="BP129" s="395">
        <f t="shared" si="90"/>
        <v>0</v>
      </c>
      <c r="BQ129" s="395">
        <f t="shared" si="90"/>
        <v>0</v>
      </c>
      <c r="BR129" s="395">
        <f t="shared" si="90"/>
        <v>0</v>
      </c>
      <c r="BS129" s="395">
        <f t="shared" si="90"/>
        <v>0</v>
      </c>
      <c r="BT129" s="395">
        <f t="shared" si="90"/>
        <v>0</v>
      </c>
      <c r="BU129" s="395">
        <f t="shared" si="90"/>
        <v>0</v>
      </c>
      <c r="BV129" s="395">
        <f t="shared" si="90"/>
        <v>0</v>
      </c>
      <c r="BW129" s="395">
        <f t="shared" si="90"/>
        <v>0</v>
      </c>
      <c r="BX129" s="395">
        <f t="shared" si="90"/>
        <v>0</v>
      </c>
      <c r="BY129" s="395">
        <f t="shared" si="90"/>
        <v>0</v>
      </c>
      <c r="BZ129" s="395">
        <f t="shared" si="90"/>
        <v>0</v>
      </c>
      <c r="CA129" s="395">
        <f t="shared" si="90"/>
        <v>0</v>
      </c>
      <c r="CB129" s="395">
        <f t="shared" si="90"/>
        <v>0</v>
      </c>
      <c r="CC129" s="395">
        <f t="shared" si="90"/>
        <v>0</v>
      </c>
      <c r="CD129" s="395">
        <f t="shared" si="90"/>
        <v>0</v>
      </c>
      <c r="CE129" s="395">
        <f t="shared" si="90"/>
        <v>0</v>
      </c>
      <c r="CF129" s="395">
        <f t="shared" si="90"/>
        <v>0</v>
      </c>
      <c r="CG129" s="395">
        <f t="shared" si="90"/>
        <v>0</v>
      </c>
      <c r="CH129" s="395">
        <f t="shared" si="90"/>
        <v>0</v>
      </c>
      <c r="CI129" s="395">
        <f t="shared" si="90"/>
        <v>0</v>
      </c>
      <c r="CJ129" s="395">
        <f t="shared" ref="CJ129:DS129" si="91">SUM(CJ17:CJ34)</f>
        <v>0</v>
      </c>
      <c r="CK129" s="395">
        <f t="shared" si="91"/>
        <v>0</v>
      </c>
      <c r="CL129" s="395">
        <f t="shared" si="91"/>
        <v>0</v>
      </c>
      <c r="CM129" s="395">
        <f t="shared" si="91"/>
        <v>0</v>
      </c>
      <c r="CN129" s="395">
        <f t="shared" si="91"/>
        <v>0</v>
      </c>
      <c r="CO129" s="395">
        <f t="shared" si="91"/>
        <v>0</v>
      </c>
      <c r="CP129" s="395">
        <f t="shared" si="91"/>
        <v>0</v>
      </c>
      <c r="CQ129" s="395">
        <f t="shared" si="91"/>
        <v>0</v>
      </c>
      <c r="CR129" s="395">
        <f t="shared" si="91"/>
        <v>0</v>
      </c>
      <c r="CS129" s="395">
        <f t="shared" si="91"/>
        <v>0</v>
      </c>
      <c r="CT129" s="395">
        <f t="shared" si="91"/>
        <v>0</v>
      </c>
      <c r="CU129" s="395">
        <f t="shared" si="91"/>
        <v>0</v>
      </c>
      <c r="CV129" s="395">
        <f t="shared" si="91"/>
        <v>0</v>
      </c>
      <c r="CW129" s="395">
        <f t="shared" si="91"/>
        <v>0</v>
      </c>
      <c r="CX129" s="395">
        <f t="shared" si="91"/>
        <v>0</v>
      </c>
      <c r="CY129" s="395">
        <f t="shared" si="91"/>
        <v>0</v>
      </c>
      <c r="CZ129" s="395">
        <f t="shared" si="91"/>
        <v>0</v>
      </c>
      <c r="DA129" s="395">
        <f t="shared" si="91"/>
        <v>0</v>
      </c>
      <c r="DB129" s="395">
        <f t="shared" si="91"/>
        <v>0</v>
      </c>
      <c r="DC129" s="395">
        <f t="shared" si="91"/>
        <v>0</v>
      </c>
      <c r="DD129" s="395">
        <f t="shared" si="91"/>
        <v>0</v>
      </c>
      <c r="DE129" s="395">
        <f t="shared" si="91"/>
        <v>0</v>
      </c>
      <c r="DF129" s="395">
        <f t="shared" si="91"/>
        <v>0</v>
      </c>
      <c r="DG129" s="395">
        <f t="shared" si="91"/>
        <v>0</v>
      </c>
      <c r="DH129" s="395">
        <f t="shared" si="91"/>
        <v>0</v>
      </c>
      <c r="DI129" s="395">
        <f t="shared" si="91"/>
        <v>0</v>
      </c>
      <c r="DJ129" s="395">
        <f t="shared" si="91"/>
        <v>0</v>
      </c>
      <c r="DK129" s="395">
        <f t="shared" si="91"/>
        <v>0</v>
      </c>
      <c r="DL129" s="395">
        <f t="shared" si="91"/>
        <v>0</v>
      </c>
      <c r="DM129" s="395">
        <f t="shared" si="91"/>
        <v>0</v>
      </c>
      <c r="DN129" s="395">
        <f t="shared" si="91"/>
        <v>0</v>
      </c>
      <c r="DO129" s="395">
        <f t="shared" si="91"/>
        <v>0</v>
      </c>
      <c r="DP129" s="395">
        <f t="shared" si="91"/>
        <v>0</v>
      </c>
      <c r="DQ129" s="395">
        <f t="shared" si="91"/>
        <v>0</v>
      </c>
      <c r="DR129" s="395">
        <f t="shared" si="91"/>
        <v>0</v>
      </c>
      <c r="DS129" s="395">
        <f t="shared" si="91"/>
        <v>0</v>
      </c>
      <c r="DY129" s="376"/>
    </row>
    <row r="130" spans="1:129" s="138" customFormat="1" ht="12" customHeight="1">
      <c r="A130" s="394"/>
      <c r="B130" s="376"/>
      <c r="C130" s="376"/>
      <c r="F130" s="376"/>
      <c r="G130" s="376"/>
      <c r="H130" s="376"/>
      <c r="I130" s="376"/>
      <c r="J130" s="376"/>
      <c r="K130" s="391"/>
      <c r="L130" s="391"/>
      <c r="M130" s="376"/>
      <c r="T130" s="178"/>
      <c r="U130" s="178"/>
      <c r="V130" s="521" t="s">
        <v>284</v>
      </c>
      <c r="W130" s="487"/>
      <c r="X130" s="395">
        <f t="shared" ref="X130:BC130" si="92">SUM(X51:X68)</f>
        <v>0</v>
      </c>
      <c r="Y130" s="395">
        <f t="shared" si="92"/>
        <v>809.9030600000001</v>
      </c>
      <c r="Z130" s="395">
        <f t="shared" si="92"/>
        <v>2267.7285680000005</v>
      </c>
      <c r="AA130" s="395">
        <f t="shared" si="92"/>
        <v>3995.5217626666672</v>
      </c>
      <c r="AB130" s="395">
        <f t="shared" si="92"/>
        <v>5743.314957333334</v>
      </c>
      <c r="AC130" s="395">
        <f t="shared" si="92"/>
        <v>7492.4414853333346</v>
      </c>
      <c r="AD130" s="395">
        <f t="shared" si="92"/>
        <v>85122.487966666653</v>
      </c>
      <c r="AE130" s="395">
        <f t="shared" si="92"/>
        <v>162105.94533333337</v>
      </c>
      <c r="AF130" s="395">
        <f t="shared" si="92"/>
        <v>163085.27866666671</v>
      </c>
      <c r="AG130" s="395">
        <f t="shared" si="92"/>
        <v>163114.61200000005</v>
      </c>
      <c r="AH130" s="395">
        <f t="shared" si="92"/>
        <v>164192.70894000004</v>
      </c>
      <c r="AI130" s="395">
        <f t="shared" si="92"/>
        <v>162264.26846666669</v>
      </c>
      <c r="AJ130" s="395">
        <f t="shared" si="92"/>
        <v>161443.80860533335</v>
      </c>
      <c r="AK130" s="395">
        <f t="shared" si="92"/>
        <v>159673.34874400002</v>
      </c>
      <c r="AL130" s="395">
        <f t="shared" si="92"/>
        <v>80168.635596000007</v>
      </c>
      <c r="AM130" s="395">
        <f t="shared" si="92"/>
        <v>79504.71314800001</v>
      </c>
      <c r="AN130" s="395">
        <f t="shared" si="92"/>
        <v>78840.790700000012</v>
      </c>
      <c r="AO130" s="395">
        <f t="shared" si="92"/>
        <v>0</v>
      </c>
      <c r="AP130" s="395">
        <f t="shared" si="92"/>
        <v>0</v>
      </c>
      <c r="AQ130" s="395">
        <f t="shared" si="92"/>
        <v>0</v>
      </c>
      <c r="AR130" s="395">
        <f t="shared" si="92"/>
        <v>0</v>
      </c>
      <c r="AS130" s="395">
        <f t="shared" si="92"/>
        <v>0</v>
      </c>
      <c r="AT130" s="395">
        <f t="shared" si="92"/>
        <v>0</v>
      </c>
      <c r="AU130" s="395">
        <f t="shared" si="92"/>
        <v>0</v>
      </c>
      <c r="AV130" s="395">
        <f t="shared" si="92"/>
        <v>0</v>
      </c>
      <c r="AW130" s="395">
        <f t="shared" si="92"/>
        <v>0</v>
      </c>
      <c r="AX130" s="395">
        <f t="shared" si="92"/>
        <v>0</v>
      </c>
      <c r="AY130" s="395">
        <f t="shared" si="92"/>
        <v>0</v>
      </c>
      <c r="AZ130" s="395">
        <f t="shared" si="92"/>
        <v>0</v>
      </c>
      <c r="BA130" s="395">
        <f t="shared" si="92"/>
        <v>0</v>
      </c>
      <c r="BB130" s="395">
        <f t="shared" si="92"/>
        <v>0</v>
      </c>
      <c r="BC130" s="395">
        <f t="shared" si="92"/>
        <v>0</v>
      </c>
      <c r="BD130" s="395">
        <f t="shared" ref="BD130:CI130" si="93">SUM(BD51:BD68)</f>
        <v>0</v>
      </c>
      <c r="BE130" s="395">
        <f t="shared" si="93"/>
        <v>0</v>
      </c>
      <c r="BF130" s="395">
        <f t="shared" si="93"/>
        <v>0</v>
      </c>
      <c r="BG130" s="395">
        <f t="shared" si="93"/>
        <v>0</v>
      </c>
      <c r="BH130" s="395">
        <f t="shared" si="93"/>
        <v>0</v>
      </c>
      <c r="BI130" s="395">
        <f t="shared" si="93"/>
        <v>0</v>
      </c>
      <c r="BJ130" s="395">
        <f t="shared" si="93"/>
        <v>0</v>
      </c>
      <c r="BK130" s="395">
        <f t="shared" si="93"/>
        <v>0</v>
      </c>
      <c r="BL130" s="395">
        <f t="shared" si="93"/>
        <v>0</v>
      </c>
      <c r="BM130" s="395">
        <f t="shared" si="93"/>
        <v>0</v>
      </c>
      <c r="BN130" s="395">
        <f t="shared" si="93"/>
        <v>0</v>
      </c>
      <c r="BO130" s="395">
        <f t="shared" si="93"/>
        <v>0</v>
      </c>
      <c r="BP130" s="395">
        <f t="shared" si="93"/>
        <v>0</v>
      </c>
      <c r="BQ130" s="395">
        <f t="shared" si="93"/>
        <v>0</v>
      </c>
      <c r="BR130" s="395">
        <f t="shared" si="93"/>
        <v>0</v>
      </c>
      <c r="BS130" s="395">
        <f t="shared" si="93"/>
        <v>0</v>
      </c>
      <c r="BT130" s="395">
        <f t="shared" si="93"/>
        <v>0</v>
      </c>
      <c r="BU130" s="395">
        <f t="shared" si="93"/>
        <v>0</v>
      </c>
      <c r="BV130" s="395">
        <f t="shared" si="93"/>
        <v>0</v>
      </c>
      <c r="BW130" s="395">
        <f t="shared" si="93"/>
        <v>0</v>
      </c>
      <c r="BX130" s="395">
        <f t="shared" si="93"/>
        <v>0</v>
      </c>
      <c r="BY130" s="395">
        <f t="shared" si="93"/>
        <v>0</v>
      </c>
      <c r="BZ130" s="395">
        <f t="shared" si="93"/>
        <v>0</v>
      </c>
      <c r="CA130" s="395">
        <f t="shared" si="93"/>
        <v>0</v>
      </c>
      <c r="CB130" s="395">
        <f t="shared" si="93"/>
        <v>0</v>
      </c>
      <c r="CC130" s="395">
        <f t="shared" si="93"/>
        <v>0</v>
      </c>
      <c r="CD130" s="395">
        <f t="shared" si="93"/>
        <v>0</v>
      </c>
      <c r="CE130" s="395">
        <f t="shared" si="93"/>
        <v>0</v>
      </c>
      <c r="CF130" s="395">
        <f t="shared" si="93"/>
        <v>0</v>
      </c>
      <c r="CG130" s="395">
        <f t="shared" si="93"/>
        <v>0</v>
      </c>
      <c r="CH130" s="395">
        <f t="shared" si="93"/>
        <v>0</v>
      </c>
      <c r="CI130" s="395">
        <f t="shared" si="93"/>
        <v>0</v>
      </c>
      <c r="CJ130" s="395">
        <f t="shared" ref="CJ130:DS130" si="94">SUM(CJ51:CJ68)</f>
        <v>0</v>
      </c>
      <c r="CK130" s="395">
        <f t="shared" si="94"/>
        <v>0</v>
      </c>
      <c r="CL130" s="395">
        <f t="shared" si="94"/>
        <v>0</v>
      </c>
      <c r="CM130" s="395">
        <f t="shared" si="94"/>
        <v>0</v>
      </c>
      <c r="CN130" s="395">
        <f t="shared" si="94"/>
        <v>0</v>
      </c>
      <c r="CO130" s="395">
        <f t="shared" si="94"/>
        <v>0</v>
      </c>
      <c r="CP130" s="395">
        <f t="shared" si="94"/>
        <v>0</v>
      </c>
      <c r="CQ130" s="395">
        <f t="shared" si="94"/>
        <v>0</v>
      </c>
      <c r="CR130" s="395">
        <f t="shared" si="94"/>
        <v>0</v>
      </c>
      <c r="CS130" s="395">
        <f t="shared" si="94"/>
        <v>0</v>
      </c>
      <c r="CT130" s="395">
        <f t="shared" si="94"/>
        <v>0</v>
      </c>
      <c r="CU130" s="395">
        <f t="shared" si="94"/>
        <v>0</v>
      </c>
      <c r="CV130" s="395">
        <f t="shared" si="94"/>
        <v>0</v>
      </c>
      <c r="CW130" s="395">
        <f t="shared" si="94"/>
        <v>0</v>
      </c>
      <c r="CX130" s="395">
        <f t="shared" si="94"/>
        <v>0</v>
      </c>
      <c r="CY130" s="395">
        <f t="shared" si="94"/>
        <v>0</v>
      </c>
      <c r="CZ130" s="395">
        <f t="shared" si="94"/>
        <v>0</v>
      </c>
      <c r="DA130" s="395">
        <f t="shared" si="94"/>
        <v>0</v>
      </c>
      <c r="DB130" s="395">
        <f t="shared" si="94"/>
        <v>0</v>
      </c>
      <c r="DC130" s="395">
        <f t="shared" si="94"/>
        <v>0</v>
      </c>
      <c r="DD130" s="395">
        <f t="shared" si="94"/>
        <v>0</v>
      </c>
      <c r="DE130" s="395">
        <f t="shared" si="94"/>
        <v>0</v>
      </c>
      <c r="DF130" s="395">
        <f t="shared" si="94"/>
        <v>0</v>
      </c>
      <c r="DG130" s="395">
        <f t="shared" si="94"/>
        <v>0</v>
      </c>
      <c r="DH130" s="395">
        <f t="shared" si="94"/>
        <v>0</v>
      </c>
      <c r="DI130" s="395">
        <f t="shared" si="94"/>
        <v>0</v>
      </c>
      <c r="DJ130" s="395">
        <f t="shared" si="94"/>
        <v>0</v>
      </c>
      <c r="DK130" s="395">
        <f t="shared" si="94"/>
        <v>0</v>
      </c>
      <c r="DL130" s="395">
        <f t="shared" si="94"/>
        <v>0</v>
      </c>
      <c r="DM130" s="395">
        <f t="shared" si="94"/>
        <v>0</v>
      </c>
      <c r="DN130" s="395">
        <f t="shared" si="94"/>
        <v>0</v>
      </c>
      <c r="DO130" s="395">
        <f t="shared" si="94"/>
        <v>0</v>
      </c>
      <c r="DP130" s="395">
        <f t="shared" si="94"/>
        <v>0</v>
      </c>
      <c r="DQ130" s="395">
        <f t="shared" si="94"/>
        <v>0</v>
      </c>
      <c r="DR130" s="395">
        <f t="shared" si="94"/>
        <v>0</v>
      </c>
      <c r="DS130" s="395">
        <f t="shared" si="94"/>
        <v>0</v>
      </c>
      <c r="DY130" s="376"/>
    </row>
    <row r="131" spans="1:129" s="138" customFormat="1" ht="12" customHeight="1">
      <c r="A131" s="394"/>
      <c r="B131" s="376"/>
      <c r="C131" s="376"/>
      <c r="F131" s="376"/>
      <c r="G131" s="376"/>
      <c r="H131" s="376"/>
      <c r="I131" s="376"/>
      <c r="J131" s="376"/>
      <c r="K131" s="391"/>
      <c r="L131" s="391"/>
      <c r="M131" s="376"/>
      <c r="T131" s="178"/>
      <c r="U131" s="178"/>
      <c r="V131" s="521" t="s">
        <v>286</v>
      </c>
      <c r="W131" s="487"/>
      <c r="X131" s="395">
        <f t="shared" ref="X131:BC131" si="95">SUM(X69:X116)</f>
        <v>0</v>
      </c>
      <c r="Y131" s="395">
        <f t="shared" si="95"/>
        <v>660.56449999999995</v>
      </c>
      <c r="Z131" s="395">
        <f t="shared" si="95"/>
        <v>1849.5805999999998</v>
      </c>
      <c r="AA131" s="395">
        <f t="shared" si="95"/>
        <v>6033.1557666666668</v>
      </c>
      <c r="AB131" s="395">
        <f t="shared" si="95"/>
        <v>70656.552033333297</v>
      </c>
      <c r="AC131" s="395">
        <f t="shared" si="95"/>
        <v>72347.541233333293</v>
      </c>
      <c r="AD131" s="395">
        <f t="shared" si="95"/>
        <v>131793.70633333331</v>
      </c>
      <c r="AE131" s="395">
        <f t="shared" si="95"/>
        <v>197189.59183333334</v>
      </c>
      <c r="AF131" s="395">
        <f t="shared" si="95"/>
        <v>195424.23703333337</v>
      </c>
      <c r="AG131" s="395">
        <f t="shared" si="95"/>
        <v>253527.86453333337</v>
      </c>
      <c r="AH131" s="395">
        <f t="shared" si="95"/>
        <v>251582.23543333338</v>
      </c>
      <c r="AI131" s="395">
        <f t="shared" si="95"/>
        <v>259702.51503333339</v>
      </c>
      <c r="AJ131" s="395">
        <f t="shared" si="95"/>
        <v>256598.57413333337</v>
      </c>
      <c r="AK131" s="395">
        <f t="shared" si="95"/>
        <v>311775.01353333314</v>
      </c>
      <c r="AL131" s="395">
        <f t="shared" si="95"/>
        <v>251496.17103333335</v>
      </c>
      <c r="AM131" s="395">
        <f t="shared" si="95"/>
        <v>191472.77476666667</v>
      </c>
      <c r="AN131" s="395">
        <f t="shared" si="95"/>
        <v>239612.40239999999</v>
      </c>
      <c r="AO131" s="395">
        <f>SUM(AO69:AO116)</f>
        <v>242491.41319999998</v>
      </c>
      <c r="AP131" s="395">
        <f t="shared" si="95"/>
        <v>58492.079099999995</v>
      </c>
      <c r="AQ131" s="395">
        <f t="shared" si="95"/>
        <v>58003.627499999995</v>
      </c>
      <c r="AR131" s="395">
        <f t="shared" si="95"/>
        <v>0</v>
      </c>
      <c r="AS131" s="395">
        <f t="shared" si="95"/>
        <v>0</v>
      </c>
      <c r="AT131" s="395">
        <f t="shared" si="95"/>
        <v>0</v>
      </c>
      <c r="AU131" s="395">
        <f t="shared" si="95"/>
        <v>0</v>
      </c>
      <c r="AV131" s="395">
        <f t="shared" si="95"/>
        <v>0</v>
      </c>
      <c r="AW131" s="395">
        <f t="shared" si="95"/>
        <v>0</v>
      </c>
      <c r="AX131" s="395">
        <f t="shared" si="95"/>
        <v>0</v>
      </c>
      <c r="AY131" s="395">
        <f t="shared" si="95"/>
        <v>0</v>
      </c>
      <c r="AZ131" s="395">
        <f t="shared" si="95"/>
        <v>0</v>
      </c>
      <c r="BA131" s="395">
        <f t="shared" si="95"/>
        <v>0</v>
      </c>
      <c r="BB131" s="395">
        <f t="shared" si="95"/>
        <v>0</v>
      </c>
      <c r="BC131" s="395">
        <f t="shared" si="95"/>
        <v>0</v>
      </c>
      <c r="BD131" s="395">
        <f t="shared" ref="BD131:CI131" si="96">SUM(BD69:BD116)</f>
        <v>0</v>
      </c>
      <c r="BE131" s="395">
        <f t="shared" si="96"/>
        <v>0</v>
      </c>
      <c r="BF131" s="395">
        <f t="shared" si="96"/>
        <v>0</v>
      </c>
      <c r="BG131" s="395">
        <f t="shared" si="96"/>
        <v>0</v>
      </c>
      <c r="BH131" s="395">
        <f t="shared" si="96"/>
        <v>0</v>
      </c>
      <c r="BI131" s="395">
        <f t="shared" si="96"/>
        <v>0</v>
      </c>
      <c r="BJ131" s="395">
        <f t="shared" si="96"/>
        <v>0</v>
      </c>
      <c r="BK131" s="395">
        <f t="shared" si="96"/>
        <v>0</v>
      </c>
      <c r="BL131" s="395">
        <f t="shared" si="96"/>
        <v>0</v>
      </c>
      <c r="BM131" s="395">
        <f t="shared" si="96"/>
        <v>0</v>
      </c>
      <c r="BN131" s="395">
        <f t="shared" si="96"/>
        <v>0</v>
      </c>
      <c r="BO131" s="395">
        <f t="shared" si="96"/>
        <v>0</v>
      </c>
      <c r="BP131" s="395">
        <f t="shared" si="96"/>
        <v>0</v>
      </c>
      <c r="BQ131" s="395">
        <f t="shared" si="96"/>
        <v>0</v>
      </c>
      <c r="BR131" s="395">
        <f t="shared" si="96"/>
        <v>0</v>
      </c>
      <c r="BS131" s="395">
        <f t="shared" si="96"/>
        <v>0</v>
      </c>
      <c r="BT131" s="395">
        <f t="shared" si="96"/>
        <v>0</v>
      </c>
      <c r="BU131" s="395">
        <f t="shared" si="96"/>
        <v>0</v>
      </c>
      <c r="BV131" s="395">
        <f t="shared" si="96"/>
        <v>0</v>
      </c>
      <c r="BW131" s="395">
        <f t="shared" si="96"/>
        <v>0</v>
      </c>
      <c r="BX131" s="395">
        <f t="shared" si="96"/>
        <v>0</v>
      </c>
      <c r="BY131" s="395">
        <f t="shared" si="96"/>
        <v>0</v>
      </c>
      <c r="BZ131" s="395">
        <f t="shared" si="96"/>
        <v>0</v>
      </c>
      <c r="CA131" s="395">
        <f t="shared" si="96"/>
        <v>0</v>
      </c>
      <c r="CB131" s="395">
        <f t="shared" si="96"/>
        <v>0</v>
      </c>
      <c r="CC131" s="395">
        <f t="shared" si="96"/>
        <v>0</v>
      </c>
      <c r="CD131" s="395">
        <f t="shared" si="96"/>
        <v>0</v>
      </c>
      <c r="CE131" s="395">
        <f t="shared" si="96"/>
        <v>0</v>
      </c>
      <c r="CF131" s="395">
        <f t="shared" si="96"/>
        <v>0</v>
      </c>
      <c r="CG131" s="395">
        <f t="shared" si="96"/>
        <v>0</v>
      </c>
      <c r="CH131" s="395">
        <f t="shared" si="96"/>
        <v>0</v>
      </c>
      <c r="CI131" s="395">
        <f t="shared" si="96"/>
        <v>0</v>
      </c>
      <c r="CJ131" s="395">
        <f t="shared" ref="CJ131:DS131" si="97">SUM(CJ69:CJ116)</f>
        <v>0</v>
      </c>
      <c r="CK131" s="395">
        <f t="shared" si="97"/>
        <v>0</v>
      </c>
      <c r="CL131" s="395">
        <f t="shared" si="97"/>
        <v>0</v>
      </c>
      <c r="CM131" s="395">
        <f t="shared" si="97"/>
        <v>0</v>
      </c>
      <c r="CN131" s="395">
        <f t="shared" si="97"/>
        <v>0</v>
      </c>
      <c r="CO131" s="395">
        <f t="shared" si="97"/>
        <v>0</v>
      </c>
      <c r="CP131" s="395">
        <f t="shared" si="97"/>
        <v>0</v>
      </c>
      <c r="CQ131" s="395">
        <f t="shared" si="97"/>
        <v>0</v>
      </c>
      <c r="CR131" s="395">
        <f t="shared" si="97"/>
        <v>0</v>
      </c>
      <c r="CS131" s="395">
        <f t="shared" si="97"/>
        <v>0</v>
      </c>
      <c r="CT131" s="395">
        <f t="shared" si="97"/>
        <v>0</v>
      </c>
      <c r="CU131" s="395">
        <f t="shared" si="97"/>
        <v>0</v>
      </c>
      <c r="CV131" s="395">
        <f t="shared" si="97"/>
        <v>0</v>
      </c>
      <c r="CW131" s="395">
        <f t="shared" si="97"/>
        <v>0</v>
      </c>
      <c r="CX131" s="395">
        <f t="shared" si="97"/>
        <v>0</v>
      </c>
      <c r="CY131" s="395">
        <f t="shared" si="97"/>
        <v>0</v>
      </c>
      <c r="CZ131" s="395">
        <f t="shared" si="97"/>
        <v>0</v>
      </c>
      <c r="DA131" s="395">
        <f t="shared" si="97"/>
        <v>0</v>
      </c>
      <c r="DB131" s="395">
        <f t="shared" si="97"/>
        <v>0</v>
      </c>
      <c r="DC131" s="395">
        <f t="shared" si="97"/>
        <v>0</v>
      </c>
      <c r="DD131" s="395">
        <f t="shared" si="97"/>
        <v>0</v>
      </c>
      <c r="DE131" s="395">
        <f t="shared" si="97"/>
        <v>0</v>
      </c>
      <c r="DF131" s="395">
        <f t="shared" si="97"/>
        <v>0</v>
      </c>
      <c r="DG131" s="395">
        <f t="shared" si="97"/>
        <v>0</v>
      </c>
      <c r="DH131" s="395">
        <f t="shared" si="97"/>
        <v>0</v>
      </c>
      <c r="DI131" s="395">
        <f t="shared" si="97"/>
        <v>0</v>
      </c>
      <c r="DJ131" s="395">
        <f t="shared" si="97"/>
        <v>0</v>
      </c>
      <c r="DK131" s="395">
        <f t="shared" si="97"/>
        <v>0</v>
      </c>
      <c r="DL131" s="395">
        <f t="shared" si="97"/>
        <v>0</v>
      </c>
      <c r="DM131" s="395">
        <f t="shared" si="97"/>
        <v>0</v>
      </c>
      <c r="DN131" s="395">
        <f t="shared" si="97"/>
        <v>0</v>
      </c>
      <c r="DO131" s="395">
        <f t="shared" si="97"/>
        <v>0</v>
      </c>
      <c r="DP131" s="395">
        <f t="shared" si="97"/>
        <v>0</v>
      </c>
      <c r="DQ131" s="395">
        <f t="shared" si="97"/>
        <v>0</v>
      </c>
      <c r="DR131" s="395">
        <f t="shared" si="97"/>
        <v>0</v>
      </c>
      <c r="DS131" s="395">
        <f t="shared" si="97"/>
        <v>0</v>
      </c>
      <c r="DY131" s="376"/>
    </row>
    <row r="132" spans="1:129" s="138" customFormat="1" ht="12" customHeight="1">
      <c r="A132" s="394"/>
      <c r="B132" s="376"/>
      <c r="C132" s="376"/>
      <c r="F132" s="376"/>
      <c r="G132" s="376"/>
      <c r="H132" s="376"/>
      <c r="I132" s="376"/>
      <c r="J132" s="376"/>
      <c r="K132" s="391"/>
      <c r="L132" s="391"/>
      <c r="M132" s="376"/>
      <c r="T132" s="178"/>
      <c r="U132" s="178"/>
      <c r="W132" s="178"/>
      <c r="DY132" s="376"/>
    </row>
    <row r="133" spans="1:129" s="138" customFormat="1" ht="12" customHeight="1">
      <c r="A133" s="394"/>
      <c r="B133" s="376"/>
      <c r="C133" s="376"/>
      <c r="F133" s="376"/>
      <c r="G133" s="376"/>
      <c r="H133" s="376"/>
      <c r="I133" s="376"/>
      <c r="J133" s="376"/>
      <c r="K133" s="391"/>
      <c r="L133" s="391"/>
      <c r="M133" s="376"/>
      <c r="T133" s="178"/>
      <c r="U133" s="178"/>
      <c r="W133" s="178"/>
      <c r="DY133" s="376"/>
    </row>
    <row r="134" spans="1:129" s="138" customFormat="1" ht="12" customHeight="1">
      <c r="A134" s="394"/>
      <c r="B134" s="376"/>
      <c r="C134" s="376"/>
      <c r="F134" s="376"/>
      <c r="G134" s="376"/>
      <c r="H134" s="376"/>
      <c r="I134" s="376"/>
      <c r="J134" s="376"/>
      <c r="K134" s="391"/>
      <c r="L134" s="391"/>
      <c r="M134" s="376"/>
      <c r="T134" s="178"/>
      <c r="U134" s="178"/>
      <c r="W134" s="178"/>
      <c r="DY134" s="376"/>
    </row>
    <row r="135" spans="1:129" s="138" customFormat="1" ht="12" customHeight="1">
      <c r="A135" s="394"/>
      <c r="B135" s="376"/>
      <c r="C135" s="376"/>
      <c r="F135" s="376"/>
      <c r="G135" s="376"/>
      <c r="H135" s="376"/>
      <c r="I135" s="376"/>
      <c r="J135" s="376"/>
      <c r="K135" s="391"/>
      <c r="L135" s="391"/>
      <c r="M135" s="376"/>
      <c r="T135" s="178"/>
      <c r="U135" s="178"/>
      <c r="W135" s="178"/>
      <c r="DY135" s="376"/>
    </row>
    <row r="136" spans="1:129" s="138" customFormat="1" ht="12" customHeight="1">
      <c r="A136" s="394"/>
      <c r="B136" s="376"/>
      <c r="C136" s="376"/>
      <c r="F136" s="376"/>
      <c r="G136" s="376"/>
      <c r="H136" s="376"/>
      <c r="I136" s="376"/>
      <c r="J136" s="376"/>
      <c r="K136" s="391"/>
      <c r="L136" s="391"/>
      <c r="M136" s="376"/>
      <c r="T136" s="178"/>
      <c r="U136" s="178"/>
      <c r="W136" s="178"/>
      <c r="DY136" s="376"/>
    </row>
    <row r="137" spans="1:129" s="138" customFormat="1" ht="12" customHeight="1">
      <c r="A137" s="394"/>
      <c r="B137" s="376"/>
      <c r="C137" s="376"/>
      <c r="F137" s="376"/>
      <c r="G137" s="376"/>
      <c r="H137" s="376"/>
      <c r="I137" s="376"/>
      <c r="J137" s="376"/>
      <c r="K137" s="391"/>
      <c r="L137" s="391"/>
      <c r="M137" s="376"/>
      <c r="T137" s="178"/>
      <c r="U137" s="178"/>
      <c r="W137" s="178"/>
      <c r="DY137" s="376"/>
    </row>
    <row r="138" spans="1:129" s="138" customFormat="1" ht="12" customHeight="1">
      <c r="A138" s="394"/>
      <c r="B138" s="376"/>
      <c r="C138" s="376"/>
      <c r="F138" s="376"/>
      <c r="G138" s="376"/>
      <c r="H138" s="376"/>
      <c r="I138" s="376"/>
      <c r="J138" s="376"/>
      <c r="K138" s="391"/>
      <c r="L138" s="391"/>
      <c r="M138" s="376"/>
      <c r="T138" s="178"/>
      <c r="U138" s="178"/>
      <c r="W138" s="178"/>
      <c r="DY138" s="376"/>
    </row>
    <row r="139" spans="1:129" s="138" customFormat="1" ht="12" customHeight="1">
      <c r="A139" s="394"/>
      <c r="B139" s="376"/>
      <c r="C139" s="376"/>
      <c r="F139" s="376"/>
      <c r="G139" s="376"/>
      <c r="H139" s="376"/>
      <c r="I139" s="376"/>
      <c r="J139" s="376"/>
      <c r="K139" s="391"/>
      <c r="L139" s="391"/>
      <c r="M139" s="376"/>
      <c r="T139" s="178"/>
      <c r="U139" s="178"/>
      <c r="W139" s="178"/>
      <c r="DY139" s="376"/>
    </row>
    <row r="140" spans="1:129" s="138" customFormat="1" ht="12" customHeight="1">
      <c r="A140" s="188"/>
      <c r="B140" s="376"/>
      <c r="C140" s="376"/>
      <c r="F140" s="376"/>
      <c r="G140" s="376"/>
      <c r="H140" s="376"/>
      <c r="I140" s="376"/>
      <c r="J140" s="376"/>
      <c r="K140" s="391"/>
      <c r="L140" s="391"/>
      <c r="M140" s="376"/>
      <c r="T140" s="178"/>
      <c r="U140" s="178"/>
      <c r="W140" s="178"/>
      <c r="DY140" s="376"/>
    </row>
    <row r="141" spans="1:129" s="154" customFormat="1" ht="12" customHeight="1">
      <c r="A141" s="188"/>
      <c r="E141" s="189"/>
      <c r="K141" s="190"/>
      <c r="L141" s="190"/>
      <c r="Z141" s="156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57"/>
      <c r="AS141" s="157"/>
      <c r="AT141" s="157"/>
      <c r="AU141" s="157"/>
      <c r="AV141" s="157"/>
      <c r="AW141" s="157"/>
      <c r="AY141" s="158"/>
      <c r="CG141" s="360"/>
    </row>
    <row r="142" spans="1:129" ht="14.25" customHeight="1">
      <c r="V142" s="154"/>
      <c r="W142" s="154"/>
      <c r="X142" s="154"/>
      <c r="Y142" s="154"/>
      <c r="Z142" s="156"/>
      <c r="AA142" s="154"/>
      <c r="AB142" s="154"/>
      <c r="AC142" s="154"/>
      <c r="AD142" s="154"/>
      <c r="AE142" s="154"/>
      <c r="AF142" s="154"/>
      <c r="AG142" s="154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57"/>
      <c r="AS142" s="157"/>
      <c r="AT142" s="157"/>
      <c r="AU142" s="157"/>
      <c r="AV142" s="157"/>
      <c r="AW142" s="157"/>
      <c r="AX142" s="154"/>
      <c r="AY142" s="158"/>
      <c r="AZ142" s="154"/>
      <c r="BA142" s="154"/>
      <c r="BB142" s="154"/>
      <c r="BC142" s="154"/>
      <c r="BD142" s="154"/>
      <c r="BE142" s="154"/>
      <c r="BF142" s="154"/>
      <c r="BG142" s="154"/>
      <c r="BH142" s="154"/>
      <c r="BI142" s="154"/>
      <c r="BJ142" s="154"/>
      <c r="BK142" s="154"/>
      <c r="BL142" s="154"/>
      <c r="BM142" s="154"/>
      <c r="BN142" s="154"/>
      <c r="BO142" s="154"/>
      <c r="BP142" s="154"/>
      <c r="BQ142" s="154"/>
      <c r="BR142" s="154"/>
      <c r="BS142" s="154"/>
      <c r="BT142" s="154"/>
      <c r="BU142" s="154"/>
      <c r="BV142" s="154"/>
      <c r="BW142" s="154"/>
      <c r="BX142" s="154"/>
      <c r="BY142" s="154"/>
      <c r="BZ142" s="154"/>
      <c r="CA142" s="154"/>
      <c r="CB142" s="154"/>
      <c r="CC142" s="154"/>
      <c r="CD142" s="154"/>
      <c r="CE142" s="154"/>
      <c r="CF142" s="154"/>
      <c r="CG142" s="360"/>
      <c r="CH142" s="154"/>
      <c r="CI142" s="154"/>
      <c r="CJ142" s="154"/>
      <c r="CK142" s="154"/>
      <c r="CL142" s="154"/>
      <c r="CM142" s="154"/>
      <c r="CN142" s="154"/>
      <c r="CO142" s="154"/>
      <c r="CP142" s="154"/>
      <c r="CQ142" s="154"/>
      <c r="CR142" s="154"/>
      <c r="CS142" s="154"/>
      <c r="CT142" s="154"/>
      <c r="CU142" s="154"/>
      <c r="CV142" s="154"/>
      <c r="CW142" s="154"/>
      <c r="CX142" s="154"/>
      <c r="CY142" s="154"/>
      <c r="CZ142" s="154"/>
      <c r="DA142" s="154"/>
      <c r="DB142" s="154"/>
      <c r="DC142" s="154"/>
      <c r="DD142" s="154"/>
      <c r="DE142" s="154"/>
      <c r="DF142" s="154"/>
      <c r="DG142" s="154"/>
      <c r="DH142" s="154"/>
      <c r="DI142" s="154"/>
      <c r="DJ142" s="154"/>
      <c r="DK142" s="154"/>
      <c r="DL142" s="154"/>
      <c r="DM142" s="154"/>
      <c r="DN142" s="154"/>
      <c r="DO142" s="154"/>
      <c r="DP142" s="154"/>
      <c r="DQ142" s="154"/>
      <c r="DR142" s="154"/>
      <c r="DS142" s="154"/>
      <c r="DT142" s="154"/>
      <c r="DU142" s="154"/>
    </row>
    <row r="143" spans="1:129" ht="14.25" customHeight="1">
      <c r="V143" s="154"/>
      <c r="W143" s="154"/>
      <c r="X143" s="154"/>
      <c r="Y143" s="154"/>
      <c r="Z143" s="156"/>
      <c r="AA143" s="154"/>
      <c r="AB143" s="154"/>
      <c r="AC143" s="154"/>
      <c r="AD143" s="154"/>
      <c r="AE143" s="154"/>
      <c r="AF143" s="154"/>
      <c r="AG143" s="154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57"/>
      <c r="AS143" s="157"/>
      <c r="AT143" s="157"/>
      <c r="AU143" s="157"/>
      <c r="AV143" s="157"/>
      <c r="AW143" s="157"/>
      <c r="AX143" s="154"/>
      <c r="AY143" s="158"/>
      <c r="AZ143" s="154"/>
      <c r="BA143" s="154"/>
      <c r="BB143" s="154"/>
      <c r="BC143" s="154"/>
      <c r="BD143" s="154"/>
      <c r="BE143" s="154"/>
      <c r="BF143" s="154"/>
      <c r="BG143" s="154"/>
      <c r="BH143" s="154"/>
      <c r="BI143" s="154"/>
      <c r="BJ143" s="154"/>
      <c r="BK143" s="154"/>
      <c r="BL143" s="154"/>
      <c r="BM143" s="154"/>
      <c r="BN143" s="154"/>
      <c r="BO143" s="154"/>
      <c r="BP143" s="154"/>
      <c r="BQ143" s="154"/>
      <c r="BR143" s="154"/>
      <c r="BS143" s="154"/>
      <c r="BT143" s="154"/>
      <c r="BU143" s="154"/>
      <c r="BV143" s="154"/>
      <c r="BW143" s="154"/>
      <c r="BX143" s="154"/>
      <c r="BY143" s="154"/>
      <c r="BZ143" s="154"/>
      <c r="CA143" s="154"/>
      <c r="CB143" s="154"/>
      <c r="CC143" s="154"/>
      <c r="CD143" s="154"/>
      <c r="CE143" s="154"/>
      <c r="CF143" s="154"/>
      <c r="CG143" s="360"/>
      <c r="CH143" s="154"/>
      <c r="CI143" s="154"/>
      <c r="CJ143" s="154"/>
      <c r="CK143" s="154"/>
      <c r="CL143" s="154"/>
      <c r="CM143" s="154"/>
      <c r="CN143" s="154"/>
      <c r="CO143" s="154"/>
      <c r="CP143" s="154"/>
      <c r="CQ143" s="154"/>
      <c r="CR143" s="154"/>
      <c r="CS143" s="154"/>
      <c r="CT143" s="154"/>
      <c r="CU143" s="154"/>
      <c r="CV143" s="154"/>
      <c r="CW143" s="154"/>
      <c r="CX143" s="154"/>
      <c r="CY143" s="154"/>
      <c r="CZ143" s="154"/>
      <c r="DA143" s="154"/>
      <c r="DB143" s="154"/>
      <c r="DC143" s="154"/>
      <c r="DD143" s="154"/>
      <c r="DE143" s="154"/>
      <c r="DF143" s="154"/>
      <c r="DG143" s="154"/>
      <c r="DH143" s="154"/>
      <c r="DI143" s="154"/>
      <c r="DJ143" s="154"/>
      <c r="DK143" s="154"/>
      <c r="DL143" s="154"/>
      <c r="DM143" s="154"/>
      <c r="DN143" s="154"/>
      <c r="DO143" s="154"/>
      <c r="DP143" s="154"/>
      <c r="DQ143" s="154"/>
      <c r="DR143" s="154"/>
      <c r="DS143" s="154"/>
      <c r="DT143" s="154"/>
      <c r="DU143" s="154"/>
    </row>
    <row r="144" spans="1:129" ht="14.25" customHeight="1">
      <c r="V144" s="154"/>
      <c r="W144" s="154"/>
      <c r="X144" s="154"/>
      <c r="Y144" s="154"/>
      <c r="Z144" s="156"/>
      <c r="AA144" s="154"/>
      <c r="AB144" s="154"/>
      <c r="AC144" s="154"/>
      <c r="AD144" s="154"/>
      <c r="AE144" s="154"/>
      <c r="AF144" s="154"/>
      <c r="AG144" s="154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57"/>
      <c r="AS144" s="157"/>
      <c r="AT144" s="157"/>
      <c r="AU144" s="157"/>
      <c r="AV144" s="157"/>
      <c r="AW144" s="157"/>
      <c r="AX144" s="154"/>
      <c r="AY144" s="158"/>
      <c r="AZ144" s="154"/>
      <c r="BA144" s="154"/>
      <c r="BB144" s="154"/>
      <c r="BC144" s="154"/>
      <c r="BD144" s="154"/>
      <c r="BE144" s="154"/>
      <c r="BF144" s="154"/>
      <c r="BG144" s="154"/>
      <c r="BH144" s="154"/>
      <c r="BI144" s="154"/>
      <c r="BJ144" s="154"/>
      <c r="BK144" s="154"/>
      <c r="BL144" s="154"/>
      <c r="BM144" s="154"/>
      <c r="BN144" s="154"/>
      <c r="BO144" s="154"/>
      <c r="BP144" s="154"/>
      <c r="BQ144" s="154"/>
      <c r="BR144" s="154"/>
      <c r="BS144" s="154"/>
      <c r="BT144" s="154"/>
      <c r="BU144" s="154"/>
      <c r="BV144" s="154"/>
      <c r="BW144" s="154"/>
      <c r="BX144" s="154"/>
      <c r="BY144" s="154"/>
      <c r="BZ144" s="154"/>
      <c r="CA144" s="154"/>
      <c r="CB144" s="154"/>
      <c r="CC144" s="154"/>
      <c r="CD144" s="154"/>
      <c r="CE144" s="154"/>
      <c r="CF144" s="154"/>
      <c r="CG144" s="360"/>
      <c r="CH144" s="154"/>
      <c r="CI144" s="154"/>
      <c r="CJ144" s="154"/>
      <c r="CK144" s="154"/>
      <c r="CL144" s="154"/>
      <c r="CM144" s="154"/>
      <c r="CN144" s="154"/>
      <c r="CO144" s="154"/>
      <c r="CP144" s="154"/>
      <c r="CQ144" s="154"/>
      <c r="CR144" s="154"/>
      <c r="CS144" s="154"/>
      <c r="CT144" s="154"/>
      <c r="CU144" s="154"/>
      <c r="CV144" s="154"/>
      <c r="CW144" s="154"/>
      <c r="CX144" s="154"/>
      <c r="CY144" s="154"/>
      <c r="CZ144" s="154"/>
      <c r="DA144" s="154"/>
      <c r="DB144" s="154"/>
      <c r="DC144" s="154"/>
      <c r="DD144" s="154"/>
      <c r="DE144" s="154"/>
      <c r="DF144" s="154"/>
      <c r="DG144" s="154"/>
      <c r="DH144" s="154"/>
      <c r="DI144" s="154"/>
      <c r="DJ144" s="154"/>
      <c r="DK144" s="154"/>
      <c r="DL144" s="154"/>
      <c r="DM144" s="154"/>
      <c r="DN144" s="154"/>
      <c r="DO144" s="154"/>
      <c r="DP144" s="154"/>
      <c r="DQ144" s="154"/>
      <c r="DR144" s="154"/>
      <c r="DS144" s="154"/>
      <c r="DT144" s="154"/>
      <c r="DU144" s="154"/>
    </row>
  </sheetData>
  <autoFilter ref="A16:DU117">
    <sortState ref="A17:DU117">
      <sortCondition ref="A17:A117"/>
    </sortState>
  </autoFilter>
  <mergeCells count="21">
    <mergeCell ref="V131:W131"/>
    <mergeCell ref="V10:W10"/>
    <mergeCell ref="A15:G15"/>
    <mergeCell ref="V9:W9"/>
    <mergeCell ref="H15:J15"/>
    <mergeCell ref="V123:W123"/>
    <mergeCell ref="V130:W130"/>
    <mergeCell ref="V12:W12"/>
    <mergeCell ref="V122:W122"/>
    <mergeCell ref="V129:W129"/>
    <mergeCell ref="V14:W14"/>
    <mergeCell ref="V121:W121"/>
    <mergeCell ref="V13:W13"/>
    <mergeCell ref="A1:P1"/>
    <mergeCell ref="V11:W11"/>
    <mergeCell ref="V120:W120"/>
    <mergeCell ref="V128:W128"/>
    <mergeCell ref="K15:M15"/>
    <mergeCell ref="A3:P3"/>
    <mergeCell ref="A2:P2"/>
    <mergeCell ref="A4:P4"/>
  </mergeCells>
  <conditionalFormatting sqref="AF66:AF67 X116:AM116 AO116">
    <cfRule type="cellIs" dxfId="28" priority="2" operator="greaterThan">
      <formula>0</formula>
    </cfRule>
  </conditionalFormatting>
  <conditionalFormatting sqref="AE64:AE65">
    <cfRule type="cellIs" dxfId="27" priority="3" operator="greaterThan">
      <formula>0</formula>
    </cfRule>
  </conditionalFormatting>
  <conditionalFormatting sqref="AE44:AL44">
    <cfRule type="cellIs" dxfId="26" priority="4" operator="greaterThan">
      <formula>0</formula>
    </cfRule>
  </conditionalFormatting>
  <conditionalFormatting sqref="AC41:AJ41">
    <cfRule type="cellIs" dxfId="25" priority="5" operator="greaterThan">
      <formula>0</formula>
    </cfRule>
  </conditionalFormatting>
  <conditionalFormatting sqref="AA38:AG40 AB38:AH38 AB40:AH40">
    <cfRule type="cellIs" dxfId="24" priority="6" operator="greaterThan">
      <formula>0</formula>
    </cfRule>
  </conditionalFormatting>
  <conditionalFormatting sqref="AG66:AN66 AG67:AL67">
    <cfRule type="cellIs" dxfId="23" priority="7" operator="greaterThan">
      <formula>0</formula>
    </cfRule>
  </conditionalFormatting>
  <conditionalFormatting sqref="AF64:AM64 AF65:AK65">
    <cfRule type="cellIs" dxfId="22" priority="8" operator="greaterThan">
      <formula>0</formula>
    </cfRule>
  </conditionalFormatting>
  <conditionalFormatting sqref="AE62:AL62 AE63:AJ63">
    <cfRule type="cellIs" dxfId="21" priority="9" operator="greaterThan">
      <formula>0</formula>
    </cfRule>
  </conditionalFormatting>
  <conditionalFormatting sqref="AD60:AK60 AD61:AI61">
    <cfRule type="cellIs" dxfId="20" priority="10" operator="greaterThan">
      <formula>0</formula>
    </cfRule>
  </conditionalFormatting>
  <conditionalFormatting sqref="AC58:AJ58 AC59:AH59">
    <cfRule type="cellIs" dxfId="19" priority="11" operator="greaterThan">
      <formula>0</formula>
    </cfRule>
  </conditionalFormatting>
  <conditionalFormatting sqref="AB56:AI56 AB57:AG57">
    <cfRule type="cellIs" dxfId="18" priority="12" operator="greaterThan">
      <formula>0</formula>
    </cfRule>
  </conditionalFormatting>
  <conditionalFormatting sqref="AA54:AH54 AA55:AF55">
    <cfRule type="cellIs" dxfId="17" priority="13" operator="greaterThan">
      <formula>0</formula>
    </cfRule>
  </conditionalFormatting>
  <conditionalFormatting sqref="AG66:AG67">
    <cfRule type="cellIs" dxfId="16" priority="14" operator="greaterThan">
      <formula>0</formula>
    </cfRule>
  </conditionalFormatting>
  <conditionalFormatting sqref="AF64:AF65">
    <cfRule type="cellIs" dxfId="15" priority="15" operator="greaterThan">
      <formula>0</formula>
    </cfRule>
  </conditionalFormatting>
  <conditionalFormatting sqref="Y51:AO52 Y53:AH53 Y54:AA55 Y56:AB57 Y58:AC61 Y62:AE63 Y64:AD64 Y65:AE65 Y66:AF67 Y68:AN68 Z60:AD61 AF55:AH55 AG57:AO57 AH53:AN55 AH59:AO59 AI53:AO56 AI61:AO61 AJ58:AO58 AJ63:AO63 AK60:AO60 AK65:AO65 AL62:AO62 AL67:AO67 AM64:AO64 AN66:AO66">
    <cfRule type="cellIs" dxfId="14" priority="16" operator="greaterThan">
      <formula>0</formula>
    </cfRule>
  </conditionalFormatting>
  <conditionalFormatting sqref="AF32:AL32 AF33:AJ33">
    <cfRule type="cellIs" dxfId="13" priority="17" operator="greaterThan">
      <formula>0</formula>
    </cfRule>
  </conditionalFormatting>
  <conditionalFormatting sqref="AE30:AK30 AE31:AI31">
    <cfRule type="cellIs" dxfId="12" priority="18" operator="greaterThan">
      <formula>0</formula>
    </cfRule>
  </conditionalFormatting>
  <conditionalFormatting sqref="AD28:AJ28 AD29:AH29">
    <cfRule type="cellIs" dxfId="11" priority="19" operator="greaterThan">
      <formula>0</formula>
    </cfRule>
  </conditionalFormatting>
  <conditionalFormatting sqref="AC26:AI26 AC27:AG27">
    <cfRule type="cellIs" dxfId="10" priority="20" operator="greaterThan">
      <formula>0</formula>
    </cfRule>
  </conditionalFormatting>
  <conditionalFormatting sqref="AB24:AH24 AB25:AF25">
    <cfRule type="cellIs" dxfId="9" priority="21" operator="greaterThan">
      <formula>0</formula>
    </cfRule>
  </conditionalFormatting>
  <conditionalFormatting sqref="AA22:AG22 AA23:AE23">
    <cfRule type="cellIs" dxfId="8" priority="22" operator="greaterThan">
      <formula>0</formula>
    </cfRule>
  </conditionalFormatting>
  <conditionalFormatting sqref="Z20:AF20 Z21:AD21">
    <cfRule type="cellIs" dxfId="7" priority="23" operator="greaterThan">
      <formula>0</formula>
    </cfRule>
  </conditionalFormatting>
  <conditionalFormatting sqref="AE32:AE33">
    <cfRule type="cellIs" dxfId="6" priority="24" operator="greaterThan">
      <formula>0</formula>
    </cfRule>
  </conditionalFormatting>
  <conditionalFormatting sqref="AD30:AD31">
    <cfRule type="cellIs" dxfId="5" priority="25" operator="greaterThan">
      <formula>0</formula>
    </cfRule>
  </conditionalFormatting>
  <conditionalFormatting sqref="AP51:AW63">
    <cfRule type="cellIs" dxfId="4" priority="26" operator="greaterThan">
      <formula>0</formula>
    </cfRule>
  </conditionalFormatting>
  <conditionalFormatting sqref="AP64:AW67 AX51:BB67">
    <cfRule type="cellIs" dxfId="3" priority="27" operator="greaterThan">
      <formula>0</formula>
    </cfRule>
  </conditionalFormatting>
  <conditionalFormatting sqref="X17:DS18 X19:AF19 X20:Y21 X22:Z23 X24:AA25 X26:AB27 X28:AC29 X30:AB30 X31:AC31 X32:AD33 X34:AE35 X35:DS37 X38:AA40 X41:AD43 X44:AE46 X47:AG49 X50:AP50 X69:DS75 X76:AE76 X77:DS80 X81:AI81 X82:AB82 X83:DS115 AA75:BF77 AA81:BF82 AD42:AJ42 AD43:BD43 AE21:AF21 AE45:AP46 AF23:DS23 AF47:AN47 AG19:DS21 AG25:DS25 AG34:DS34 AG39:AN39 AG48:AN48 AG49:AP49 AG76:DS76 AH22:DS22 AH27:DS27 AH38:DS40 AI24:DS24 AI29:DS29 AJ26:DS26 AJ31:DS31 AJ41:DS42 AK28:DS28 AK33:DS33 AK81:DS81 AL30:DS30 AL44:AP44 AM32:DS32 AM82:DS82 AN47:AP48 AQ44:BD50 AP116:DS116">
    <cfRule type="cellIs" dxfId="2" priority="28" operator="greaterThan">
      <formula>0</formula>
    </cfRule>
  </conditionalFormatting>
  <conditionalFormatting sqref="X51:Y53 AO68:BB68 AX73:BB73 AY72:BC73 AY75:BC75 AZ73:BC75 BA71:BC75 BB43:DJ50 BB69:BD75 BC51:BD68 BK43:DS68">
    <cfRule type="cellIs" dxfId="1" priority="29" operator="greaterThan">
      <formula>0</formula>
    </cfRule>
  </conditionalFormatting>
  <conditionalFormatting sqref="X54:Y68 AL44:AP44 AO68:BB68 BC51:BD68 BE43:BJ68">
    <cfRule type="cellIs" dxfId="0" priority="30" operator="greaterThan">
      <formula>0</formula>
    </cfRule>
  </conditionalFormatting>
  <printOptions horizontalCentered="1"/>
  <pageMargins left="0.196527777777778" right="0.196527777777778" top="0.196527777777778" bottom="0.196527777777778" header="0.511811023622047" footer="0.511811023622047"/>
  <pageSetup paperSize="9" scale="45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XJ172"/>
  <sheetViews>
    <sheetView showZeros="0" zoomScale="80" zoomScaleNormal="80" workbookViewId="0"/>
  </sheetViews>
  <sheetFormatPr baseColWidth="10" defaultColWidth="11.42578125" defaultRowHeight="15" customHeight="1"/>
  <cols>
    <col min="1" max="1" width="42.7109375" style="191" customWidth="1"/>
    <col min="2" max="2" width="22.28515625" style="398" customWidth="1"/>
    <col min="3" max="3" width="19.85546875" style="398" customWidth="1"/>
    <col min="4" max="4" width="18.42578125" style="398" customWidth="1"/>
    <col min="5" max="6" width="16.42578125" style="398" customWidth="1"/>
    <col min="7" max="7" width="16.5703125" style="191" customWidth="1"/>
    <col min="8" max="8" width="17" style="191" customWidth="1"/>
    <col min="9" max="11" width="16.42578125" style="191" customWidth="1"/>
    <col min="12" max="21" width="16.85546875" style="191" customWidth="1"/>
    <col min="22" max="25" width="16.42578125" style="191" customWidth="1"/>
    <col min="26" max="26" width="16.5703125" style="191" customWidth="1"/>
    <col min="27" max="27" width="16.5703125" style="191" hidden="1" customWidth="1"/>
    <col min="28" max="28" width="16.42578125" style="191" hidden="1" customWidth="1"/>
    <col min="29" max="29" width="17.5703125" style="191" hidden="1" customWidth="1"/>
    <col min="30" max="30" width="16.42578125" style="191" hidden="1" customWidth="1"/>
    <col min="31" max="33" width="16.85546875" style="191" hidden="1" customWidth="1"/>
    <col min="34" max="34" width="17.5703125" style="191" hidden="1" customWidth="1"/>
    <col min="35" max="36" width="17" style="191" hidden="1" customWidth="1"/>
    <col min="37" max="37" width="18" style="191" hidden="1" customWidth="1"/>
    <col min="38" max="39" width="16.5703125" style="191" hidden="1" customWidth="1"/>
    <col min="40" max="41" width="17" style="191" hidden="1" customWidth="1"/>
    <col min="42" max="42" width="18" style="191" hidden="1" customWidth="1"/>
    <col min="43" max="44" width="16.5703125" style="191" hidden="1" customWidth="1"/>
    <col min="45" max="45" width="17" style="191" hidden="1" customWidth="1"/>
    <col min="46" max="56" width="18" style="191" hidden="1" customWidth="1"/>
    <col min="57" max="57" width="18.7109375" style="192" customWidth="1"/>
    <col min="58" max="58" width="3.42578125" style="191" customWidth="1"/>
    <col min="59" max="59" width="25" style="191" customWidth="1"/>
    <col min="60" max="60" width="3.42578125" style="191" customWidth="1"/>
    <col min="61" max="61" width="15.5703125" style="191" customWidth="1"/>
    <col min="62" max="62" width="22.5703125" style="191" customWidth="1"/>
    <col min="63" max="77" width="15.5703125" style="191" customWidth="1"/>
    <col min="78" max="258" width="11.42578125" style="191" customWidth="1"/>
    <col min="259" max="259" width="38.42578125" style="191" customWidth="1"/>
    <col min="260" max="260" width="17.140625" style="191" customWidth="1"/>
    <col min="261" max="261" width="19.85546875" style="191" customWidth="1"/>
    <col min="262" max="262" width="17.5703125" style="191" customWidth="1"/>
    <col min="263" max="263" width="16.42578125" style="191" customWidth="1"/>
    <col min="264" max="265" width="15.5703125" style="191" customWidth="1"/>
    <col min="266" max="268" width="16.42578125" style="191" customWidth="1"/>
    <col min="269" max="278" width="16.85546875" style="191" customWidth="1"/>
    <col min="279" max="282" width="16.42578125" style="191" customWidth="1"/>
    <col min="283" max="284" width="15.5703125" style="191" customWidth="1"/>
    <col min="285" max="287" width="16.42578125" style="191" customWidth="1"/>
    <col min="288" max="290" width="16.85546875" style="191" customWidth="1"/>
    <col min="291" max="291" width="17.5703125" style="191" customWidth="1"/>
    <col min="292" max="298" width="15.5703125" style="191" customWidth="1"/>
    <col min="299" max="299" width="16.7109375" style="191" customWidth="1"/>
    <col min="300" max="304" width="15.5703125" style="191" customWidth="1"/>
    <col min="305" max="310" width="11.5703125" style="191" hidden="1" customWidth="1"/>
    <col min="311" max="311" width="15.5703125" style="191" customWidth="1"/>
    <col min="312" max="312" width="18.7109375" style="191" customWidth="1"/>
    <col min="313" max="313" width="3.42578125" style="191" customWidth="1"/>
    <col min="314" max="314" width="17.28515625" style="191" customWidth="1"/>
    <col min="315" max="315" width="3.42578125" style="191" customWidth="1"/>
    <col min="316" max="316" width="16.7109375" style="191" customWidth="1"/>
    <col min="317" max="333" width="15.5703125" style="191" customWidth="1"/>
    <col min="334" max="514" width="11.42578125" style="191" customWidth="1"/>
    <col min="515" max="515" width="38.42578125" style="191" customWidth="1"/>
    <col min="516" max="516" width="17.140625" style="191" customWidth="1"/>
    <col min="517" max="517" width="19.85546875" style="191" customWidth="1"/>
    <col min="518" max="518" width="17.5703125" style="191" customWidth="1"/>
    <col min="519" max="519" width="16.42578125" style="191" customWidth="1"/>
    <col min="520" max="521" width="15.5703125" style="191" customWidth="1"/>
    <col min="522" max="524" width="16.42578125" style="191" customWidth="1"/>
    <col min="525" max="534" width="16.85546875" style="191" customWidth="1"/>
    <col min="535" max="538" width="16.42578125" style="191" customWidth="1"/>
    <col min="539" max="540" width="15.5703125" style="191" customWidth="1"/>
    <col min="541" max="543" width="16.42578125" style="191" customWidth="1"/>
    <col min="544" max="546" width="16.85546875" style="191" customWidth="1"/>
    <col min="547" max="547" width="17.5703125" style="191" customWidth="1"/>
    <col min="548" max="554" width="15.5703125" style="191" customWidth="1"/>
    <col min="555" max="555" width="16.7109375" style="191" customWidth="1"/>
    <col min="556" max="560" width="15.5703125" style="191" customWidth="1"/>
    <col min="561" max="566" width="11.5703125" style="191" hidden="1" customWidth="1"/>
    <col min="567" max="567" width="15.5703125" style="191" customWidth="1"/>
    <col min="568" max="568" width="18.7109375" style="191" customWidth="1"/>
    <col min="569" max="569" width="3.42578125" style="191" customWidth="1"/>
    <col min="570" max="570" width="17.28515625" style="191" customWidth="1"/>
    <col min="571" max="571" width="3.42578125" style="191" customWidth="1"/>
    <col min="572" max="572" width="16.7109375" style="191" customWidth="1"/>
    <col min="573" max="589" width="15.5703125" style="191" customWidth="1"/>
    <col min="590" max="770" width="11.42578125" style="191" customWidth="1"/>
    <col min="771" max="771" width="38.42578125" style="191" customWidth="1"/>
    <col min="772" max="772" width="17.140625" style="191" customWidth="1"/>
    <col min="773" max="773" width="19.85546875" style="191" customWidth="1"/>
    <col min="774" max="774" width="17.5703125" style="191" customWidth="1"/>
    <col min="775" max="775" width="16.42578125" style="191" customWidth="1"/>
    <col min="776" max="777" width="15.5703125" style="191" customWidth="1"/>
    <col min="778" max="780" width="16.42578125" style="191" customWidth="1"/>
    <col min="781" max="790" width="16.85546875" style="191" customWidth="1"/>
    <col min="791" max="794" width="16.42578125" style="191" customWidth="1"/>
    <col min="795" max="796" width="15.5703125" style="191" customWidth="1"/>
    <col min="797" max="799" width="16.42578125" style="191" customWidth="1"/>
    <col min="800" max="802" width="16.85546875" style="191" customWidth="1"/>
    <col min="803" max="803" width="17.5703125" style="191" customWidth="1"/>
    <col min="804" max="810" width="15.5703125" style="191" customWidth="1"/>
    <col min="811" max="811" width="16.7109375" style="191" customWidth="1"/>
    <col min="812" max="816" width="15.5703125" style="191" customWidth="1"/>
    <col min="817" max="822" width="11.5703125" style="191" hidden="1" customWidth="1"/>
    <col min="823" max="823" width="15.5703125" style="191" customWidth="1"/>
    <col min="824" max="824" width="18.7109375" style="191" customWidth="1"/>
    <col min="825" max="825" width="3.42578125" style="191" customWidth="1"/>
    <col min="826" max="826" width="17.28515625" style="191" customWidth="1"/>
    <col min="827" max="827" width="3.42578125" style="191" customWidth="1"/>
    <col min="828" max="828" width="16.7109375" style="191" customWidth="1"/>
    <col min="829" max="845" width="15.5703125" style="191" customWidth="1"/>
    <col min="846" max="1026" width="11.42578125" style="191" customWidth="1"/>
    <col min="1027" max="1027" width="38.42578125" style="191" customWidth="1"/>
    <col min="1028" max="1028" width="17.140625" style="191" customWidth="1"/>
    <col min="1029" max="1029" width="19.85546875" style="191" customWidth="1"/>
    <col min="1030" max="1030" width="17.5703125" style="191" customWidth="1"/>
    <col min="1031" max="1031" width="16.42578125" style="191" customWidth="1"/>
    <col min="1032" max="1033" width="15.5703125" style="191" customWidth="1"/>
    <col min="1034" max="1036" width="16.42578125" style="191" customWidth="1"/>
    <col min="1037" max="1046" width="16.85546875" style="191" customWidth="1"/>
    <col min="1047" max="1050" width="16.42578125" style="191" customWidth="1"/>
    <col min="1051" max="1052" width="15.5703125" style="191" customWidth="1"/>
    <col min="1053" max="1055" width="16.42578125" style="191" customWidth="1"/>
    <col min="1056" max="1058" width="16.85546875" style="191" customWidth="1"/>
    <col min="1059" max="1059" width="17.5703125" style="191" customWidth="1"/>
    <col min="1060" max="1066" width="15.5703125" style="191" customWidth="1"/>
    <col min="1067" max="1067" width="16.7109375" style="191" customWidth="1"/>
    <col min="1068" max="1072" width="15.5703125" style="191" customWidth="1"/>
    <col min="1073" max="1078" width="11.5703125" style="191" hidden="1" customWidth="1"/>
    <col min="1079" max="1079" width="15.5703125" style="191" customWidth="1"/>
    <col min="1080" max="1080" width="18.7109375" style="191" customWidth="1"/>
    <col min="1081" max="1081" width="3.42578125" style="191" customWidth="1"/>
    <col min="1082" max="1082" width="17.28515625" style="191" customWidth="1"/>
    <col min="1083" max="1083" width="3.42578125" style="191" customWidth="1"/>
    <col min="1084" max="1084" width="16.7109375" style="191" customWidth="1"/>
    <col min="1085" max="1101" width="15.5703125" style="191" customWidth="1"/>
    <col min="1102" max="1282" width="11.42578125" style="191" customWidth="1"/>
    <col min="1283" max="1283" width="38.42578125" style="191" customWidth="1"/>
    <col min="1284" max="1284" width="17.140625" style="191" customWidth="1"/>
    <col min="1285" max="1285" width="19.85546875" style="191" customWidth="1"/>
    <col min="1286" max="1286" width="17.5703125" style="191" customWidth="1"/>
    <col min="1287" max="1287" width="16.42578125" style="191" customWidth="1"/>
    <col min="1288" max="1289" width="15.5703125" style="191" customWidth="1"/>
    <col min="1290" max="1292" width="16.42578125" style="191" customWidth="1"/>
    <col min="1293" max="1302" width="16.85546875" style="191" customWidth="1"/>
    <col min="1303" max="1306" width="16.42578125" style="191" customWidth="1"/>
    <col min="1307" max="1308" width="15.5703125" style="191" customWidth="1"/>
    <col min="1309" max="1311" width="16.42578125" style="191" customWidth="1"/>
    <col min="1312" max="1314" width="16.85546875" style="191" customWidth="1"/>
    <col min="1315" max="1315" width="17.5703125" style="191" customWidth="1"/>
    <col min="1316" max="1322" width="15.5703125" style="191" customWidth="1"/>
    <col min="1323" max="1323" width="16.7109375" style="191" customWidth="1"/>
    <col min="1324" max="1328" width="15.5703125" style="191" customWidth="1"/>
    <col min="1329" max="1334" width="11.5703125" style="191" hidden="1" customWidth="1"/>
    <col min="1335" max="1335" width="15.5703125" style="191" customWidth="1"/>
    <col min="1336" max="1336" width="18.7109375" style="191" customWidth="1"/>
    <col min="1337" max="1337" width="3.42578125" style="191" customWidth="1"/>
    <col min="1338" max="1338" width="17.28515625" style="191" customWidth="1"/>
    <col min="1339" max="1339" width="3.42578125" style="191" customWidth="1"/>
    <col min="1340" max="1340" width="16.7109375" style="191" customWidth="1"/>
    <col min="1341" max="1357" width="15.5703125" style="191" customWidth="1"/>
    <col min="1358" max="1538" width="11.42578125" style="191" customWidth="1"/>
    <col min="1539" max="1539" width="38.42578125" style="191" customWidth="1"/>
    <col min="1540" max="1540" width="17.140625" style="191" customWidth="1"/>
    <col min="1541" max="1541" width="19.85546875" style="191" customWidth="1"/>
    <col min="1542" max="1542" width="17.5703125" style="191" customWidth="1"/>
    <col min="1543" max="1543" width="16.42578125" style="191" customWidth="1"/>
    <col min="1544" max="1545" width="15.5703125" style="191" customWidth="1"/>
    <col min="1546" max="1548" width="16.42578125" style="191" customWidth="1"/>
    <col min="1549" max="1558" width="16.85546875" style="191" customWidth="1"/>
    <col min="1559" max="1562" width="16.42578125" style="191" customWidth="1"/>
    <col min="1563" max="1564" width="15.5703125" style="191" customWidth="1"/>
    <col min="1565" max="1567" width="16.42578125" style="191" customWidth="1"/>
    <col min="1568" max="1570" width="16.85546875" style="191" customWidth="1"/>
    <col min="1571" max="1571" width="17.5703125" style="191" customWidth="1"/>
    <col min="1572" max="1578" width="15.5703125" style="191" customWidth="1"/>
    <col min="1579" max="1579" width="16.7109375" style="191" customWidth="1"/>
    <col min="1580" max="1584" width="15.5703125" style="191" customWidth="1"/>
    <col min="1585" max="1590" width="11.5703125" style="191" hidden="1" customWidth="1"/>
    <col min="1591" max="1591" width="15.5703125" style="191" customWidth="1"/>
    <col min="1592" max="1592" width="18.7109375" style="191" customWidth="1"/>
    <col min="1593" max="1593" width="3.42578125" style="191" customWidth="1"/>
    <col min="1594" max="1594" width="17.28515625" style="191" customWidth="1"/>
    <col min="1595" max="1595" width="3.42578125" style="191" customWidth="1"/>
    <col min="1596" max="1596" width="16.7109375" style="191" customWidth="1"/>
    <col min="1597" max="1613" width="15.5703125" style="191" customWidth="1"/>
    <col min="1614" max="1794" width="11.42578125" style="191" customWidth="1"/>
    <col min="1795" max="1795" width="38.42578125" style="191" customWidth="1"/>
    <col min="1796" max="1796" width="17.140625" style="191" customWidth="1"/>
    <col min="1797" max="1797" width="19.85546875" style="191" customWidth="1"/>
    <col min="1798" max="1798" width="17.5703125" style="191" customWidth="1"/>
    <col min="1799" max="1799" width="16.42578125" style="191" customWidth="1"/>
    <col min="1800" max="1801" width="15.5703125" style="191" customWidth="1"/>
    <col min="1802" max="1804" width="16.42578125" style="191" customWidth="1"/>
    <col min="1805" max="1814" width="16.85546875" style="191" customWidth="1"/>
    <col min="1815" max="1818" width="16.42578125" style="191" customWidth="1"/>
    <col min="1819" max="1820" width="15.5703125" style="191" customWidth="1"/>
    <col min="1821" max="1823" width="16.42578125" style="191" customWidth="1"/>
    <col min="1824" max="1826" width="16.85546875" style="191" customWidth="1"/>
    <col min="1827" max="1827" width="17.5703125" style="191" customWidth="1"/>
    <col min="1828" max="1834" width="15.5703125" style="191" customWidth="1"/>
    <col min="1835" max="1835" width="16.7109375" style="191" customWidth="1"/>
    <col min="1836" max="1840" width="15.5703125" style="191" customWidth="1"/>
    <col min="1841" max="1846" width="11.5703125" style="191" hidden="1" customWidth="1"/>
    <col min="1847" max="1847" width="15.5703125" style="191" customWidth="1"/>
    <col min="1848" max="1848" width="18.7109375" style="191" customWidth="1"/>
    <col min="1849" max="1849" width="3.42578125" style="191" customWidth="1"/>
    <col min="1850" max="1850" width="17.28515625" style="191" customWidth="1"/>
    <col min="1851" max="1851" width="3.42578125" style="191" customWidth="1"/>
    <col min="1852" max="1852" width="16.7109375" style="191" customWidth="1"/>
    <col min="1853" max="1869" width="15.5703125" style="191" customWidth="1"/>
    <col min="1870" max="2050" width="11.42578125" style="191" customWidth="1"/>
    <col min="2051" max="2051" width="38.42578125" style="191" customWidth="1"/>
    <col min="2052" max="2052" width="17.140625" style="191" customWidth="1"/>
    <col min="2053" max="2053" width="19.85546875" style="191" customWidth="1"/>
    <col min="2054" max="2054" width="17.5703125" style="191" customWidth="1"/>
    <col min="2055" max="2055" width="16.42578125" style="191" customWidth="1"/>
    <col min="2056" max="2057" width="15.5703125" style="191" customWidth="1"/>
    <col min="2058" max="2060" width="16.42578125" style="191" customWidth="1"/>
    <col min="2061" max="2070" width="16.85546875" style="191" customWidth="1"/>
    <col min="2071" max="2074" width="16.42578125" style="191" customWidth="1"/>
    <col min="2075" max="2076" width="15.5703125" style="191" customWidth="1"/>
    <col min="2077" max="2079" width="16.42578125" style="191" customWidth="1"/>
    <col min="2080" max="2082" width="16.85546875" style="191" customWidth="1"/>
    <col min="2083" max="2083" width="17.5703125" style="191" customWidth="1"/>
    <col min="2084" max="2090" width="15.5703125" style="191" customWidth="1"/>
    <col min="2091" max="2091" width="16.7109375" style="191" customWidth="1"/>
    <col min="2092" max="2096" width="15.5703125" style="191" customWidth="1"/>
    <col min="2097" max="2102" width="11.5703125" style="191" hidden="1" customWidth="1"/>
    <col min="2103" max="2103" width="15.5703125" style="191" customWidth="1"/>
    <col min="2104" max="2104" width="18.7109375" style="191" customWidth="1"/>
    <col min="2105" max="2105" width="3.42578125" style="191" customWidth="1"/>
    <col min="2106" max="2106" width="17.28515625" style="191" customWidth="1"/>
    <col min="2107" max="2107" width="3.42578125" style="191" customWidth="1"/>
    <col min="2108" max="2108" width="16.7109375" style="191" customWidth="1"/>
    <col min="2109" max="2125" width="15.5703125" style="191" customWidth="1"/>
    <col min="2126" max="2306" width="11.42578125" style="191" customWidth="1"/>
    <col min="2307" max="2307" width="38.42578125" style="191" customWidth="1"/>
    <col min="2308" max="2308" width="17.140625" style="191" customWidth="1"/>
    <col min="2309" max="2309" width="19.85546875" style="191" customWidth="1"/>
    <col min="2310" max="2310" width="17.5703125" style="191" customWidth="1"/>
    <col min="2311" max="2311" width="16.42578125" style="191" customWidth="1"/>
    <col min="2312" max="2313" width="15.5703125" style="191" customWidth="1"/>
    <col min="2314" max="2316" width="16.42578125" style="191" customWidth="1"/>
    <col min="2317" max="2326" width="16.85546875" style="191" customWidth="1"/>
    <col min="2327" max="2330" width="16.42578125" style="191" customWidth="1"/>
    <col min="2331" max="2332" width="15.5703125" style="191" customWidth="1"/>
    <col min="2333" max="2335" width="16.42578125" style="191" customWidth="1"/>
    <col min="2336" max="2338" width="16.85546875" style="191" customWidth="1"/>
    <col min="2339" max="2339" width="17.5703125" style="191" customWidth="1"/>
    <col min="2340" max="2346" width="15.5703125" style="191" customWidth="1"/>
    <col min="2347" max="2347" width="16.7109375" style="191" customWidth="1"/>
    <col min="2348" max="2352" width="15.5703125" style="191" customWidth="1"/>
    <col min="2353" max="2358" width="11.5703125" style="191" hidden="1" customWidth="1"/>
    <col min="2359" max="2359" width="15.5703125" style="191" customWidth="1"/>
    <col min="2360" max="2360" width="18.7109375" style="191" customWidth="1"/>
    <col min="2361" max="2361" width="3.42578125" style="191" customWidth="1"/>
    <col min="2362" max="2362" width="17.28515625" style="191" customWidth="1"/>
    <col min="2363" max="2363" width="3.42578125" style="191" customWidth="1"/>
    <col min="2364" max="2364" width="16.7109375" style="191" customWidth="1"/>
    <col min="2365" max="2381" width="15.5703125" style="191" customWidth="1"/>
    <col min="2382" max="2562" width="11.42578125" style="191" customWidth="1"/>
    <col min="2563" max="2563" width="38.42578125" style="191" customWidth="1"/>
    <col min="2564" max="2564" width="17.140625" style="191" customWidth="1"/>
    <col min="2565" max="2565" width="19.85546875" style="191" customWidth="1"/>
    <col min="2566" max="2566" width="17.5703125" style="191" customWidth="1"/>
    <col min="2567" max="2567" width="16.42578125" style="191" customWidth="1"/>
    <col min="2568" max="2569" width="15.5703125" style="191" customWidth="1"/>
    <col min="2570" max="2572" width="16.42578125" style="191" customWidth="1"/>
    <col min="2573" max="2582" width="16.85546875" style="191" customWidth="1"/>
    <col min="2583" max="2586" width="16.42578125" style="191" customWidth="1"/>
    <col min="2587" max="2588" width="15.5703125" style="191" customWidth="1"/>
    <col min="2589" max="2591" width="16.42578125" style="191" customWidth="1"/>
    <col min="2592" max="2594" width="16.85546875" style="191" customWidth="1"/>
    <col min="2595" max="2595" width="17.5703125" style="191" customWidth="1"/>
    <col min="2596" max="2602" width="15.5703125" style="191" customWidth="1"/>
    <col min="2603" max="2603" width="16.7109375" style="191" customWidth="1"/>
    <col min="2604" max="2608" width="15.5703125" style="191" customWidth="1"/>
    <col min="2609" max="2614" width="11.5703125" style="191" hidden="1" customWidth="1"/>
    <col min="2615" max="2615" width="15.5703125" style="191" customWidth="1"/>
    <col min="2616" max="2616" width="18.7109375" style="191" customWidth="1"/>
    <col min="2617" max="2617" width="3.42578125" style="191" customWidth="1"/>
    <col min="2618" max="2618" width="17.28515625" style="191" customWidth="1"/>
    <col min="2619" max="2619" width="3.42578125" style="191" customWidth="1"/>
    <col min="2620" max="2620" width="16.7109375" style="191" customWidth="1"/>
    <col min="2621" max="2637" width="15.5703125" style="191" customWidth="1"/>
    <col min="2638" max="2818" width="11.42578125" style="191" customWidth="1"/>
    <col min="2819" max="2819" width="38.42578125" style="191" customWidth="1"/>
    <col min="2820" max="2820" width="17.140625" style="191" customWidth="1"/>
    <col min="2821" max="2821" width="19.85546875" style="191" customWidth="1"/>
    <col min="2822" max="2822" width="17.5703125" style="191" customWidth="1"/>
    <col min="2823" max="2823" width="16.42578125" style="191" customWidth="1"/>
    <col min="2824" max="2825" width="15.5703125" style="191" customWidth="1"/>
    <col min="2826" max="2828" width="16.42578125" style="191" customWidth="1"/>
    <col min="2829" max="2838" width="16.85546875" style="191" customWidth="1"/>
    <col min="2839" max="2842" width="16.42578125" style="191" customWidth="1"/>
    <col min="2843" max="2844" width="15.5703125" style="191" customWidth="1"/>
    <col min="2845" max="2847" width="16.42578125" style="191" customWidth="1"/>
    <col min="2848" max="2850" width="16.85546875" style="191" customWidth="1"/>
    <col min="2851" max="2851" width="17.5703125" style="191" customWidth="1"/>
    <col min="2852" max="2858" width="15.5703125" style="191" customWidth="1"/>
    <col min="2859" max="2859" width="16.7109375" style="191" customWidth="1"/>
    <col min="2860" max="2864" width="15.5703125" style="191" customWidth="1"/>
    <col min="2865" max="2870" width="11.5703125" style="191" hidden="1" customWidth="1"/>
    <col min="2871" max="2871" width="15.5703125" style="191" customWidth="1"/>
    <col min="2872" max="2872" width="18.7109375" style="191" customWidth="1"/>
    <col min="2873" max="2873" width="3.42578125" style="191" customWidth="1"/>
    <col min="2874" max="2874" width="17.28515625" style="191" customWidth="1"/>
    <col min="2875" max="2875" width="3.42578125" style="191" customWidth="1"/>
    <col min="2876" max="2876" width="16.7109375" style="191" customWidth="1"/>
    <col min="2877" max="2893" width="15.5703125" style="191" customWidth="1"/>
    <col min="2894" max="3074" width="11.42578125" style="191" customWidth="1"/>
    <col min="3075" max="3075" width="38.42578125" style="191" customWidth="1"/>
    <col min="3076" max="3076" width="17.140625" style="191" customWidth="1"/>
    <col min="3077" max="3077" width="19.85546875" style="191" customWidth="1"/>
    <col min="3078" max="3078" width="17.5703125" style="191" customWidth="1"/>
    <col min="3079" max="3079" width="16.42578125" style="191" customWidth="1"/>
    <col min="3080" max="3081" width="15.5703125" style="191" customWidth="1"/>
    <col min="3082" max="3084" width="16.42578125" style="191" customWidth="1"/>
    <col min="3085" max="3094" width="16.85546875" style="191" customWidth="1"/>
    <col min="3095" max="3098" width="16.42578125" style="191" customWidth="1"/>
    <col min="3099" max="3100" width="15.5703125" style="191" customWidth="1"/>
    <col min="3101" max="3103" width="16.42578125" style="191" customWidth="1"/>
    <col min="3104" max="3106" width="16.85546875" style="191" customWidth="1"/>
    <col min="3107" max="3107" width="17.5703125" style="191" customWidth="1"/>
    <col min="3108" max="3114" width="15.5703125" style="191" customWidth="1"/>
    <col min="3115" max="3115" width="16.7109375" style="191" customWidth="1"/>
    <col min="3116" max="3120" width="15.5703125" style="191" customWidth="1"/>
    <col min="3121" max="3126" width="11.5703125" style="191" hidden="1" customWidth="1"/>
    <col min="3127" max="3127" width="15.5703125" style="191" customWidth="1"/>
    <col min="3128" max="3128" width="18.7109375" style="191" customWidth="1"/>
    <col min="3129" max="3129" width="3.42578125" style="191" customWidth="1"/>
    <col min="3130" max="3130" width="17.28515625" style="191" customWidth="1"/>
    <col min="3131" max="3131" width="3.42578125" style="191" customWidth="1"/>
    <col min="3132" max="3132" width="16.7109375" style="191" customWidth="1"/>
    <col min="3133" max="3149" width="15.5703125" style="191" customWidth="1"/>
    <col min="3150" max="3330" width="11.42578125" style="191" customWidth="1"/>
    <col min="3331" max="3331" width="38.42578125" style="191" customWidth="1"/>
    <col min="3332" max="3332" width="17.140625" style="191" customWidth="1"/>
    <col min="3333" max="3333" width="19.85546875" style="191" customWidth="1"/>
    <col min="3334" max="3334" width="17.5703125" style="191" customWidth="1"/>
    <col min="3335" max="3335" width="16.42578125" style="191" customWidth="1"/>
    <col min="3336" max="3337" width="15.5703125" style="191" customWidth="1"/>
    <col min="3338" max="3340" width="16.42578125" style="191" customWidth="1"/>
    <col min="3341" max="3350" width="16.85546875" style="191" customWidth="1"/>
    <col min="3351" max="3354" width="16.42578125" style="191" customWidth="1"/>
    <col min="3355" max="3356" width="15.5703125" style="191" customWidth="1"/>
    <col min="3357" max="3359" width="16.42578125" style="191" customWidth="1"/>
    <col min="3360" max="3362" width="16.85546875" style="191" customWidth="1"/>
    <col min="3363" max="3363" width="17.5703125" style="191" customWidth="1"/>
    <col min="3364" max="3370" width="15.5703125" style="191" customWidth="1"/>
    <col min="3371" max="3371" width="16.7109375" style="191" customWidth="1"/>
    <col min="3372" max="3376" width="15.5703125" style="191" customWidth="1"/>
    <col min="3377" max="3382" width="11.5703125" style="191" hidden="1" customWidth="1"/>
    <col min="3383" max="3383" width="15.5703125" style="191" customWidth="1"/>
    <col min="3384" max="3384" width="18.7109375" style="191" customWidth="1"/>
    <col min="3385" max="3385" width="3.42578125" style="191" customWidth="1"/>
    <col min="3386" max="3386" width="17.28515625" style="191" customWidth="1"/>
    <col min="3387" max="3387" width="3.42578125" style="191" customWidth="1"/>
    <col min="3388" max="3388" width="16.7109375" style="191" customWidth="1"/>
    <col min="3389" max="3405" width="15.5703125" style="191" customWidth="1"/>
    <col min="3406" max="3586" width="11.42578125" style="191" customWidth="1"/>
    <col min="3587" max="3587" width="38.42578125" style="191" customWidth="1"/>
    <col min="3588" max="3588" width="17.140625" style="191" customWidth="1"/>
    <col min="3589" max="3589" width="19.85546875" style="191" customWidth="1"/>
    <col min="3590" max="3590" width="17.5703125" style="191" customWidth="1"/>
    <col min="3591" max="3591" width="16.42578125" style="191" customWidth="1"/>
    <col min="3592" max="3593" width="15.5703125" style="191" customWidth="1"/>
    <col min="3594" max="3596" width="16.42578125" style="191" customWidth="1"/>
    <col min="3597" max="3606" width="16.85546875" style="191" customWidth="1"/>
    <col min="3607" max="3610" width="16.42578125" style="191" customWidth="1"/>
    <col min="3611" max="3612" width="15.5703125" style="191" customWidth="1"/>
    <col min="3613" max="3615" width="16.42578125" style="191" customWidth="1"/>
    <col min="3616" max="3618" width="16.85546875" style="191" customWidth="1"/>
    <col min="3619" max="3619" width="17.5703125" style="191" customWidth="1"/>
    <col min="3620" max="3626" width="15.5703125" style="191" customWidth="1"/>
    <col min="3627" max="3627" width="16.7109375" style="191" customWidth="1"/>
    <col min="3628" max="3632" width="15.5703125" style="191" customWidth="1"/>
    <col min="3633" max="3638" width="11.5703125" style="191" hidden="1" customWidth="1"/>
    <col min="3639" max="3639" width="15.5703125" style="191" customWidth="1"/>
    <col min="3640" max="3640" width="18.7109375" style="191" customWidth="1"/>
    <col min="3641" max="3641" width="3.42578125" style="191" customWidth="1"/>
    <col min="3642" max="3642" width="17.28515625" style="191" customWidth="1"/>
    <col min="3643" max="3643" width="3.42578125" style="191" customWidth="1"/>
    <col min="3644" max="3644" width="16.7109375" style="191" customWidth="1"/>
    <col min="3645" max="3661" width="15.5703125" style="191" customWidth="1"/>
    <col min="3662" max="3842" width="11.42578125" style="191" customWidth="1"/>
    <col min="3843" max="3843" width="38.42578125" style="191" customWidth="1"/>
    <col min="3844" max="3844" width="17.140625" style="191" customWidth="1"/>
    <col min="3845" max="3845" width="19.85546875" style="191" customWidth="1"/>
    <col min="3846" max="3846" width="17.5703125" style="191" customWidth="1"/>
    <col min="3847" max="3847" width="16.42578125" style="191" customWidth="1"/>
    <col min="3848" max="3849" width="15.5703125" style="191" customWidth="1"/>
    <col min="3850" max="3852" width="16.42578125" style="191" customWidth="1"/>
    <col min="3853" max="3862" width="16.85546875" style="191" customWidth="1"/>
    <col min="3863" max="3866" width="16.42578125" style="191" customWidth="1"/>
    <col min="3867" max="3868" width="15.5703125" style="191" customWidth="1"/>
    <col min="3869" max="3871" width="16.42578125" style="191" customWidth="1"/>
    <col min="3872" max="3874" width="16.85546875" style="191" customWidth="1"/>
    <col min="3875" max="3875" width="17.5703125" style="191" customWidth="1"/>
    <col min="3876" max="3882" width="15.5703125" style="191" customWidth="1"/>
    <col min="3883" max="3883" width="16.7109375" style="191" customWidth="1"/>
    <col min="3884" max="3888" width="15.5703125" style="191" customWidth="1"/>
    <col min="3889" max="3894" width="11.5703125" style="191" hidden="1" customWidth="1"/>
    <col min="3895" max="3895" width="15.5703125" style="191" customWidth="1"/>
    <col min="3896" max="3896" width="18.7109375" style="191" customWidth="1"/>
    <col min="3897" max="3897" width="3.42578125" style="191" customWidth="1"/>
    <col min="3898" max="3898" width="17.28515625" style="191" customWidth="1"/>
    <col min="3899" max="3899" width="3.42578125" style="191" customWidth="1"/>
    <col min="3900" max="3900" width="16.7109375" style="191" customWidth="1"/>
    <col min="3901" max="3917" width="15.5703125" style="191" customWidth="1"/>
    <col min="3918" max="4098" width="11.42578125" style="191" customWidth="1"/>
    <col min="4099" max="4099" width="38.42578125" style="191" customWidth="1"/>
    <col min="4100" max="4100" width="17.140625" style="191" customWidth="1"/>
    <col min="4101" max="4101" width="19.85546875" style="191" customWidth="1"/>
    <col min="4102" max="4102" width="17.5703125" style="191" customWidth="1"/>
    <col min="4103" max="4103" width="16.42578125" style="191" customWidth="1"/>
    <col min="4104" max="4105" width="15.5703125" style="191" customWidth="1"/>
    <col min="4106" max="4108" width="16.42578125" style="191" customWidth="1"/>
    <col min="4109" max="4118" width="16.85546875" style="191" customWidth="1"/>
    <col min="4119" max="4122" width="16.42578125" style="191" customWidth="1"/>
    <col min="4123" max="4124" width="15.5703125" style="191" customWidth="1"/>
    <col min="4125" max="4127" width="16.42578125" style="191" customWidth="1"/>
    <col min="4128" max="4130" width="16.85546875" style="191" customWidth="1"/>
    <col min="4131" max="4131" width="17.5703125" style="191" customWidth="1"/>
    <col min="4132" max="4138" width="15.5703125" style="191" customWidth="1"/>
    <col min="4139" max="4139" width="16.7109375" style="191" customWidth="1"/>
    <col min="4140" max="4144" width="15.5703125" style="191" customWidth="1"/>
    <col min="4145" max="4150" width="11.5703125" style="191" hidden="1" customWidth="1"/>
    <col min="4151" max="4151" width="15.5703125" style="191" customWidth="1"/>
    <col min="4152" max="4152" width="18.7109375" style="191" customWidth="1"/>
    <col min="4153" max="4153" width="3.42578125" style="191" customWidth="1"/>
    <col min="4154" max="4154" width="17.28515625" style="191" customWidth="1"/>
    <col min="4155" max="4155" width="3.42578125" style="191" customWidth="1"/>
    <col min="4156" max="4156" width="16.7109375" style="191" customWidth="1"/>
    <col min="4157" max="4173" width="15.5703125" style="191" customWidth="1"/>
    <col min="4174" max="4354" width="11.42578125" style="191" customWidth="1"/>
    <col min="4355" max="4355" width="38.42578125" style="191" customWidth="1"/>
    <col min="4356" max="4356" width="17.140625" style="191" customWidth="1"/>
    <col min="4357" max="4357" width="19.85546875" style="191" customWidth="1"/>
    <col min="4358" max="4358" width="17.5703125" style="191" customWidth="1"/>
    <col min="4359" max="4359" width="16.42578125" style="191" customWidth="1"/>
    <col min="4360" max="4361" width="15.5703125" style="191" customWidth="1"/>
    <col min="4362" max="4364" width="16.42578125" style="191" customWidth="1"/>
    <col min="4365" max="4374" width="16.85546875" style="191" customWidth="1"/>
    <col min="4375" max="4378" width="16.42578125" style="191" customWidth="1"/>
    <col min="4379" max="4380" width="15.5703125" style="191" customWidth="1"/>
    <col min="4381" max="4383" width="16.42578125" style="191" customWidth="1"/>
    <col min="4384" max="4386" width="16.85546875" style="191" customWidth="1"/>
    <col min="4387" max="4387" width="17.5703125" style="191" customWidth="1"/>
    <col min="4388" max="4394" width="15.5703125" style="191" customWidth="1"/>
    <col min="4395" max="4395" width="16.7109375" style="191" customWidth="1"/>
    <col min="4396" max="4400" width="15.5703125" style="191" customWidth="1"/>
    <col min="4401" max="4406" width="11.5703125" style="191" hidden="1" customWidth="1"/>
    <col min="4407" max="4407" width="15.5703125" style="191" customWidth="1"/>
    <col min="4408" max="4408" width="18.7109375" style="191" customWidth="1"/>
    <col min="4409" max="4409" width="3.42578125" style="191" customWidth="1"/>
    <col min="4410" max="4410" width="17.28515625" style="191" customWidth="1"/>
    <col min="4411" max="4411" width="3.42578125" style="191" customWidth="1"/>
    <col min="4412" max="4412" width="16.7109375" style="191" customWidth="1"/>
    <col min="4413" max="4429" width="15.5703125" style="191" customWidth="1"/>
    <col min="4430" max="4610" width="11.42578125" style="191" customWidth="1"/>
    <col min="4611" max="4611" width="38.42578125" style="191" customWidth="1"/>
    <col min="4612" max="4612" width="17.140625" style="191" customWidth="1"/>
    <col min="4613" max="4613" width="19.85546875" style="191" customWidth="1"/>
    <col min="4614" max="4614" width="17.5703125" style="191" customWidth="1"/>
    <col min="4615" max="4615" width="16.42578125" style="191" customWidth="1"/>
    <col min="4616" max="4617" width="15.5703125" style="191" customWidth="1"/>
    <col min="4618" max="4620" width="16.42578125" style="191" customWidth="1"/>
    <col min="4621" max="4630" width="16.85546875" style="191" customWidth="1"/>
    <col min="4631" max="4634" width="16.42578125" style="191" customWidth="1"/>
    <col min="4635" max="4636" width="15.5703125" style="191" customWidth="1"/>
    <col min="4637" max="4639" width="16.42578125" style="191" customWidth="1"/>
    <col min="4640" max="4642" width="16.85546875" style="191" customWidth="1"/>
    <col min="4643" max="4643" width="17.5703125" style="191" customWidth="1"/>
    <col min="4644" max="4650" width="15.5703125" style="191" customWidth="1"/>
    <col min="4651" max="4651" width="16.7109375" style="191" customWidth="1"/>
    <col min="4652" max="4656" width="15.5703125" style="191" customWidth="1"/>
    <col min="4657" max="4662" width="11.5703125" style="191" hidden="1" customWidth="1"/>
    <col min="4663" max="4663" width="15.5703125" style="191" customWidth="1"/>
    <col min="4664" max="4664" width="18.7109375" style="191" customWidth="1"/>
    <col min="4665" max="4665" width="3.42578125" style="191" customWidth="1"/>
    <col min="4666" max="4666" width="17.28515625" style="191" customWidth="1"/>
    <col min="4667" max="4667" width="3.42578125" style="191" customWidth="1"/>
    <col min="4668" max="4668" width="16.7109375" style="191" customWidth="1"/>
    <col min="4669" max="4685" width="15.5703125" style="191" customWidth="1"/>
    <col min="4686" max="4866" width="11.42578125" style="191" customWidth="1"/>
    <col min="4867" max="4867" width="38.42578125" style="191" customWidth="1"/>
    <col min="4868" max="4868" width="17.140625" style="191" customWidth="1"/>
    <col min="4869" max="4869" width="19.85546875" style="191" customWidth="1"/>
    <col min="4870" max="4870" width="17.5703125" style="191" customWidth="1"/>
    <col min="4871" max="4871" width="16.42578125" style="191" customWidth="1"/>
    <col min="4872" max="4873" width="15.5703125" style="191" customWidth="1"/>
    <col min="4874" max="4876" width="16.42578125" style="191" customWidth="1"/>
    <col min="4877" max="4886" width="16.85546875" style="191" customWidth="1"/>
    <col min="4887" max="4890" width="16.42578125" style="191" customWidth="1"/>
    <col min="4891" max="4892" width="15.5703125" style="191" customWidth="1"/>
    <col min="4893" max="4895" width="16.42578125" style="191" customWidth="1"/>
    <col min="4896" max="4898" width="16.85546875" style="191" customWidth="1"/>
    <col min="4899" max="4899" width="17.5703125" style="191" customWidth="1"/>
    <col min="4900" max="4906" width="15.5703125" style="191" customWidth="1"/>
    <col min="4907" max="4907" width="16.7109375" style="191" customWidth="1"/>
    <col min="4908" max="4912" width="15.5703125" style="191" customWidth="1"/>
    <col min="4913" max="4918" width="11.5703125" style="191" hidden="1" customWidth="1"/>
    <col min="4919" max="4919" width="15.5703125" style="191" customWidth="1"/>
    <col min="4920" max="4920" width="18.7109375" style="191" customWidth="1"/>
    <col min="4921" max="4921" width="3.42578125" style="191" customWidth="1"/>
    <col min="4922" max="4922" width="17.28515625" style="191" customWidth="1"/>
    <col min="4923" max="4923" width="3.42578125" style="191" customWidth="1"/>
    <col min="4924" max="4924" width="16.7109375" style="191" customWidth="1"/>
    <col min="4925" max="4941" width="15.5703125" style="191" customWidth="1"/>
    <col min="4942" max="5122" width="11.42578125" style="191" customWidth="1"/>
    <col min="5123" max="5123" width="38.42578125" style="191" customWidth="1"/>
    <col min="5124" max="5124" width="17.140625" style="191" customWidth="1"/>
    <col min="5125" max="5125" width="19.85546875" style="191" customWidth="1"/>
    <col min="5126" max="5126" width="17.5703125" style="191" customWidth="1"/>
    <col min="5127" max="5127" width="16.42578125" style="191" customWidth="1"/>
    <col min="5128" max="5129" width="15.5703125" style="191" customWidth="1"/>
    <col min="5130" max="5132" width="16.42578125" style="191" customWidth="1"/>
    <col min="5133" max="5142" width="16.85546875" style="191" customWidth="1"/>
    <col min="5143" max="5146" width="16.42578125" style="191" customWidth="1"/>
    <col min="5147" max="5148" width="15.5703125" style="191" customWidth="1"/>
    <col min="5149" max="5151" width="16.42578125" style="191" customWidth="1"/>
    <col min="5152" max="5154" width="16.85546875" style="191" customWidth="1"/>
    <col min="5155" max="5155" width="17.5703125" style="191" customWidth="1"/>
    <col min="5156" max="5162" width="15.5703125" style="191" customWidth="1"/>
    <col min="5163" max="5163" width="16.7109375" style="191" customWidth="1"/>
    <col min="5164" max="5168" width="15.5703125" style="191" customWidth="1"/>
    <col min="5169" max="5174" width="11.5703125" style="191" hidden="1" customWidth="1"/>
    <col min="5175" max="5175" width="15.5703125" style="191" customWidth="1"/>
    <col min="5176" max="5176" width="18.7109375" style="191" customWidth="1"/>
    <col min="5177" max="5177" width="3.42578125" style="191" customWidth="1"/>
    <col min="5178" max="5178" width="17.28515625" style="191" customWidth="1"/>
    <col min="5179" max="5179" width="3.42578125" style="191" customWidth="1"/>
    <col min="5180" max="5180" width="16.7109375" style="191" customWidth="1"/>
    <col min="5181" max="5197" width="15.5703125" style="191" customWidth="1"/>
    <col min="5198" max="5378" width="11.42578125" style="191" customWidth="1"/>
    <col min="5379" max="5379" width="38.42578125" style="191" customWidth="1"/>
    <col min="5380" max="5380" width="17.140625" style="191" customWidth="1"/>
    <col min="5381" max="5381" width="19.85546875" style="191" customWidth="1"/>
    <col min="5382" max="5382" width="17.5703125" style="191" customWidth="1"/>
    <col min="5383" max="5383" width="16.42578125" style="191" customWidth="1"/>
    <col min="5384" max="5385" width="15.5703125" style="191" customWidth="1"/>
    <col min="5386" max="5388" width="16.42578125" style="191" customWidth="1"/>
    <col min="5389" max="5398" width="16.85546875" style="191" customWidth="1"/>
    <col min="5399" max="5402" width="16.42578125" style="191" customWidth="1"/>
    <col min="5403" max="5404" width="15.5703125" style="191" customWidth="1"/>
    <col min="5405" max="5407" width="16.42578125" style="191" customWidth="1"/>
    <col min="5408" max="5410" width="16.85546875" style="191" customWidth="1"/>
    <col min="5411" max="5411" width="17.5703125" style="191" customWidth="1"/>
    <col min="5412" max="5418" width="15.5703125" style="191" customWidth="1"/>
    <col min="5419" max="5419" width="16.7109375" style="191" customWidth="1"/>
    <col min="5420" max="5424" width="15.5703125" style="191" customWidth="1"/>
    <col min="5425" max="5430" width="11.5703125" style="191" hidden="1" customWidth="1"/>
    <col min="5431" max="5431" width="15.5703125" style="191" customWidth="1"/>
    <col min="5432" max="5432" width="18.7109375" style="191" customWidth="1"/>
    <col min="5433" max="5433" width="3.42578125" style="191" customWidth="1"/>
    <col min="5434" max="5434" width="17.28515625" style="191" customWidth="1"/>
    <col min="5435" max="5435" width="3.42578125" style="191" customWidth="1"/>
    <col min="5436" max="5436" width="16.7109375" style="191" customWidth="1"/>
    <col min="5437" max="5453" width="15.5703125" style="191" customWidth="1"/>
    <col min="5454" max="5634" width="11.42578125" style="191" customWidth="1"/>
    <col min="5635" max="5635" width="38.42578125" style="191" customWidth="1"/>
    <col min="5636" max="5636" width="17.140625" style="191" customWidth="1"/>
    <col min="5637" max="5637" width="19.85546875" style="191" customWidth="1"/>
    <col min="5638" max="5638" width="17.5703125" style="191" customWidth="1"/>
    <col min="5639" max="5639" width="16.42578125" style="191" customWidth="1"/>
    <col min="5640" max="5641" width="15.5703125" style="191" customWidth="1"/>
    <col min="5642" max="5644" width="16.42578125" style="191" customWidth="1"/>
    <col min="5645" max="5654" width="16.85546875" style="191" customWidth="1"/>
    <col min="5655" max="5658" width="16.42578125" style="191" customWidth="1"/>
    <col min="5659" max="5660" width="15.5703125" style="191" customWidth="1"/>
    <col min="5661" max="5663" width="16.42578125" style="191" customWidth="1"/>
    <col min="5664" max="5666" width="16.85546875" style="191" customWidth="1"/>
    <col min="5667" max="5667" width="17.5703125" style="191" customWidth="1"/>
    <col min="5668" max="5674" width="15.5703125" style="191" customWidth="1"/>
    <col min="5675" max="5675" width="16.7109375" style="191" customWidth="1"/>
    <col min="5676" max="5680" width="15.5703125" style="191" customWidth="1"/>
    <col min="5681" max="5686" width="11.5703125" style="191" hidden="1" customWidth="1"/>
    <col min="5687" max="5687" width="15.5703125" style="191" customWidth="1"/>
    <col min="5688" max="5688" width="18.7109375" style="191" customWidth="1"/>
    <col min="5689" max="5689" width="3.42578125" style="191" customWidth="1"/>
    <col min="5690" max="5690" width="17.28515625" style="191" customWidth="1"/>
    <col min="5691" max="5691" width="3.42578125" style="191" customWidth="1"/>
    <col min="5692" max="5692" width="16.7109375" style="191" customWidth="1"/>
    <col min="5693" max="5709" width="15.5703125" style="191" customWidth="1"/>
    <col min="5710" max="5890" width="11.42578125" style="191" customWidth="1"/>
    <col min="5891" max="5891" width="38.42578125" style="191" customWidth="1"/>
    <col min="5892" max="5892" width="17.140625" style="191" customWidth="1"/>
    <col min="5893" max="5893" width="19.85546875" style="191" customWidth="1"/>
    <col min="5894" max="5894" width="17.5703125" style="191" customWidth="1"/>
    <col min="5895" max="5895" width="16.42578125" style="191" customWidth="1"/>
    <col min="5896" max="5897" width="15.5703125" style="191" customWidth="1"/>
    <col min="5898" max="5900" width="16.42578125" style="191" customWidth="1"/>
    <col min="5901" max="5910" width="16.85546875" style="191" customWidth="1"/>
    <col min="5911" max="5914" width="16.42578125" style="191" customWidth="1"/>
    <col min="5915" max="5916" width="15.5703125" style="191" customWidth="1"/>
    <col min="5917" max="5919" width="16.42578125" style="191" customWidth="1"/>
    <col min="5920" max="5922" width="16.85546875" style="191" customWidth="1"/>
    <col min="5923" max="5923" width="17.5703125" style="191" customWidth="1"/>
    <col min="5924" max="5930" width="15.5703125" style="191" customWidth="1"/>
    <col min="5931" max="5931" width="16.7109375" style="191" customWidth="1"/>
    <col min="5932" max="5936" width="15.5703125" style="191" customWidth="1"/>
    <col min="5937" max="5942" width="11.5703125" style="191" hidden="1" customWidth="1"/>
    <col min="5943" max="5943" width="15.5703125" style="191" customWidth="1"/>
    <col min="5944" max="5944" width="18.7109375" style="191" customWidth="1"/>
    <col min="5945" max="5945" width="3.42578125" style="191" customWidth="1"/>
    <col min="5946" max="5946" width="17.28515625" style="191" customWidth="1"/>
    <col min="5947" max="5947" width="3.42578125" style="191" customWidth="1"/>
    <col min="5948" max="5948" width="16.7109375" style="191" customWidth="1"/>
    <col min="5949" max="5965" width="15.5703125" style="191" customWidth="1"/>
    <col min="5966" max="6146" width="11.42578125" style="191" customWidth="1"/>
    <col min="6147" max="6147" width="38.42578125" style="191" customWidth="1"/>
    <col min="6148" max="6148" width="17.140625" style="191" customWidth="1"/>
    <col min="6149" max="6149" width="19.85546875" style="191" customWidth="1"/>
    <col min="6150" max="6150" width="17.5703125" style="191" customWidth="1"/>
    <col min="6151" max="6151" width="16.42578125" style="191" customWidth="1"/>
    <col min="6152" max="6153" width="15.5703125" style="191" customWidth="1"/>
    <col min="6154" max="6156" width="16.42578125" style="191" customWidth="1"/>
    <col min="6157" max="6166" width="16.85546875" style="191" customWidth="1"/>
    <col min="6167" max="6170" width="16.42578125" style="191" customWidth="1"/>
    <col min="6171" max="6172" width="15.5703125" style="191" customWidth="1"/>
    <col min="6173" max="6175" width="16.42578125" style="191" customWidth="1"/>
    <col min="6176" max="6178" width="16.85546875" style="191" customWidth="1"/>
    <col min="6179" max="6179" width="17.5703125" style="191" customWidth="1"/>
    <col min="6180" max="6186" width="15.5703125" style="191" customWidth="1"/>
    <col min="6187" max="6187" width="16.7109375" style="191" customWidth="1"/>
    <col min="6188" max="6192" width="15.5703125" style="191" customWidth="1"/>
    <col min="6193" max="6198" width="11.5703125" style="191" hidden="1" customWidth="1"/>
    <col min="6199" max="6199" width="15.5703125" style="191" customWidth="1"/>
    <col min="6200" max="6200" width="18.7109375" style="191" customWidth="1"/>
    <col min="6201" max="6201" width="3.42578125" style="191" customWidth="1"/>
    <col min="6202" max="6202" width="17.28515625" style="191" customWidth="1"/>
    <col min="6203" max="6203" width="3.42578125" style="191" customWidth="1"/>
    <col min="6204" max="6204" width="16.7109375" style="191" customWidth="1"/>
    <col min="6205" max="6221" width="15.5703125" style="191" customWidth="1"/>
    <col min="6222" max="6402" width="11.42578125" style="191" customWidth="1"/>
    <col min="6403" max="6403" width="38.42578125" style="191" customWidth="1"/>
    <col min="6404" max="6404" width="17.140625" style="191" customWidth="1"/>
    <col min="6405" max="6405" width="19.85546875" style="191" customWidth="1"/>
    <col min="6406" max="6406" width="17.5703125" style="191" customWidth="1"/>
    <col min="6407" max="6407" width="16.42578125" style="191" customWidth="1"/>
    <col min="6408" max="6409" width="15.5703125" style="191" customWidth="1"/>
    <col min="6410" max="6412" width="16.42578125" style="191" customWidth="1"/>
    <col min="6413" max="6422" width="16.85546875" style="191" customWidth="1"/>
    <col min="6423" max="6426" width="16.42578125" style="191" customWidth="1"/>
    <col min="6427" max="6428" width="15.5703125" style="191" customWidth="1"/>
    <col min="6429" max="6431" width="16.42578125" style="191" customWidth="1"/>
    <col min="6432" max="6434" width="16.85546875" style="191" customWidth="1"/>
    <col min="6435" max="6435" width="17.5703125" style="191" customWidth="1"/>
    <col min="6436" max="6442" width="15.5703125" style="191" customWidth="1"/>
    <col min="6443" max="6443" width="16.7109375" style="191" customWidth="1"/>
    <col min="6444" max="6448" width="15.5703125" style="191" customWidth="1"/>
    <col min="6449" max="6454" width="11.5703125" style="191" hidden="1" customWidth="1"/>
    <col min="6455" max="6455" width="15.5703125" style="191" customWidth="1"/>
    <col min="6456" max="6456" width="18.7109375" style="191" customWidth="1"/>
    <col min="6457" max="6457" width="3.42578125" style="191" customWidth="1"/>
    <col min="6458" max="6458" width="17.28515625" style="191" customWidth="1"/>
    <col min="6459" max="6459" width="3.42578125" style="191" customWidth="1"/>
    <col min="6460" max="6460" width="16.7109375" style="191" customWidth="1"/>
    <col min="6461" max="6477" width="15.5703125" style="191" customWidth="1"/>
    <col min="6478" max="6658" width="11.42578125" style="191" customWidth="1"/>
    <col min="6659" max="6659" width="38.42578125" style="191" customWidth="1"/>
    <col min="6660" max="6660" width="17.140625" style="191" customWidth="1"/>
    <col min="6661" max="6661" width="19.85546875" style="191" customWidth="1"/>
    <col min="6662" max="6662" width="17.5703125" style="191" customWidth="1"/>
    <col min="6663" max="6663" width="16.42578125" style="191" customWidth="1"/>
    <col min="6664" max="6665" width="15.5703125" style="191" customWidth="1"/>
    <col min="6666" max="6668" width="16.42578125" style="191" customWidth="1"/>
    <col min="6669" max="6678" width="16.85546875" style="191" customWidth="1"/>
    <col min="6679" max="6682" width="16.42578125" style="191" customWidth="1"/>
    <col min="6683" max="6684" width="15.5703125" style="191" customWidth="1"/>
    <col min="6685" max="6687" width="16.42578125" style="191" customWidth="1"/>
    <col min="6688" max="6690" width="16.85546875" style="191" customWidth="1"/>
    <col min="6691" max="6691" width="17.5703125" style="191" customWidth="1"/>
    <col min="6692" max="6698" width="15.5703125" style="191" customWidth="1"/>
    <col min="6699" max="6699" width="16.7109375" style="191" customWidth="1"/>
    <col min="6700" max="6704" width="15.5703125" style="191" customWidth="1"/>
    <col min="6705" max="6710" width="11.5703125" style="191" hidden="1" customWidth="1"/>
    <col min="6711" max="6711" width="15.5703125" style="191" customWidth="1"/>
    <col min="6712" max="6712" width="18.7109375" style="191" customWidth="1"/>
    <col min="6713" max="6713" width="3.42578125" style="191" customWidth="1"/>
    <col min="6714" max="6714" width="17.28515625" style="191" customWidth="1"/>
    <col min="6715" max="6715" width="3.42578125" style="191" customWidth="1"/>
    <col min="6716" max="6716" width="16.7109375" style="191" customWidth="1"/>
    <col min="6717" max="6733" width="15.5703125" style="191" customWidth="1"/>
    <col min="6734" max="6914" width="11.42578125" style="191" customWidth="1"/>
    <col min="6915" max="6915" width="38.42578125" style="191" customWidth="1"/>
    <col min="6916" max="6916" width="17.140625" style="191" customWidth="1"/>
    <col min="6917" max="6917" width="19.85546875" style="191" customWidth="1"/>
    <col min="6918" max="6918" width="17.5703125" style="191" customWidth="1"/>
    <col min="6919" max="6919" width="16.42578125" style="191" customWidth="1"/>
    <col min="6920" max="6921" width="15.5703125" style="191" customWidth="1"/>
    <col min="6922" max="6924" width="16.42578125" style="191" customWidth="1"/>
    <col min="6925" max="6934" width="16.85546875" style="191" customWidth="1"/>
    <col min="6935" max="6938" width="16.42578125" style="191" customWidth="1"/>
    <col min="6939" max="6940" width="15.5703125" style="191" customWidth="1"/>
    <col min="6941" max="6943" width="16.42578125" style="191" customWidth="1"/>
    <col min="6944" max="6946" width="16.85546875" style="191" customWidth="1"/>
    <col min="6947" max="6947" width="17.5703125" style="191" customWidth="1"/>
    <col min="6948" max="6954" width="15.5703125" style="191" customWidth="1"/>
    <col min="6955" max="6955" width="16.7109375" style="191" customWidth="1"/>
    <col min="6956" max="6960" width="15.5703125" style="191" customWidth="1"/>
    <col min="6961" max="6966" width="11.5703125" style="191" hidden="1" customWidth="1"/>
    <col min="6967" max="6967" width="15.5703125" style="191" customWidth="1"/>
    <col min="6968" max="6968" width="18.7109375" style="191" customWidth="1"/>
    <col min="6969" max="6969" width="3.42578125" style="191" customWidth="1"/>
    <col min="6970" max="6970" width="17.28515625" style="191" customWidth="1"/>
    <col min="6971" max="6971" width="3.42578125" style="191" customWidth="1"/>
    <col min="6972" max="6972" width="16.7109375" style="191" customWidth="1"/>
    <col min="6973" max="6989" width="15.5703125" style="191" customWidth="1"/>
    <col min="6990" max="7170" width="11.42578125" style="191" customWidth="1"/>
    <col min="7171" max="7171" width="38.42578125" style="191" customWidth="1"/>
    <col min="7172" max="7172" width="17.140625" style="191" customWidth="1"/>
    <col min="7173" max="7173" width="19.85546875" style="191" customWidth="1"/>
    <col min="7174" max="7174" width="17.5703125" style="191" customWidth="1"/>
    <col min="7175" max="7175" width="16.42578125" style="191" customWidth="1"/>
    <col min="7176" max="7177" width="15.5703125" style="191" customWidth="1"/>
    <col min="7178" max="7180" width="16.42578125" style="191" customWidth="1"/>
    <col min="7181" max="7190" width="16.85546875" style="191" customWidth="1"/>
    <col min="7191" max="7194" width="16.42578125" style="191" customWidth="1"/>
    <col min="7195" max="7196" width="15.5703125" style="191" customWidth="1"/>
    <col min="7197" max="7199" width="16.42578125" style="191" customWidth="1"/>
    <col min="7200" max="7202" width="16.85546875" style="191" customWidth="1"/>
    <col min="7203" max="7203" width="17.5703125" style="191" customWidth="1"/>
    <col min="7204" max="7210" width="15.5703125" style="191" customWidth="1"/>
    <col min="7211" max="7211" width="16.7109375" style="191" customWidth="1"/>
    <col min="7212" max="7216" width="15.5703125" style="191" customWidth="1"/>
    <col min="7217" max="7222" width="11.5703125" style="191" hidden="1" customWidth="1"/>
    <col min="7223" max="7223" width="15.5703125" style="191" customWidth="1"/>
    <col min="7224" max="7224" width="18.7109375" style="191" customWidth="1"/>
    <col min="7225" max="7225" width="3.42578125" style="191" customWidth="1"/>
    <col min="7226" max="7226" width="17.28515625" style="191" customWidth="1"/>
    <col min="7227" max="7227" width="3.42578125" style="191" customWidth="1"/>
    <col min="7228" max="7228" width="16.7109375" style="191" customWidth="1"/>
    <col min="7229" max="7245" width="15.5703125" style="191" customWidth="1"/>
    <col min="7246" max="7426" width="11.42578125" style="191" customWidth="1"/>
    <col min="7427" max="7427" width="38.42578125" style="191" customWidth="1"/>
    <col min="7428" max="7428" width="17.140625" style="191" customWidth="1"/>
    <col min="7429" max="7429" width="19.85546875" style="191" customWidth="1"/>
    <col min="7430" max="7430" width="17.5703125" style="191" customWidth="1"/>
    <col min="7431" max="7431" width="16.42578125" style="191" customWidth="1"/>
    <col min="7432" max="7433" width="15.5703125" style="191" customWidth="1"/>
    <col min="7434" max="7436" width="16.42578125" style="191" customWidth="1"/>
    <col min="7437" max="7446" width="16.85546875" style="191" customWidth="1"/>
    <col min="7447" max="7450" width="16.42578125" style="191" customWidth="1"/>
    <col min="7451" max="7452" width="15.5703125" style="191" customWidth="1"/>
    <col min="7453" max="7455" width="16.42578125" style="191" customWidth="1"/>
    <col min="7456" max="7458" width="16.85546875" style="191" customWidth="1"/>
    <col min="7459" max="7459" width="17.5703125" style="191" customWidth="1"/>
    <col min="7460" max="7466" width="15.5703125" style="191" customWidth="1"/>
    <col min="7467" max="7467" width="16.7109375" style="191" customWidth="1"/>
    <col min="7468" max="7472" width="15.5703125" style="191" customWidth="1"/>
    <col min="7473" max="7478" width="11.5703125" style="191" hidden="1" customWidth="1"/>
    <col min="7479" max="7479" width="15.5703125" style="191" customWidth="1"/>
    <col min="7480" max="7480" width="18.7109375" style="191" customWidth="1"/>
    <col min="7481" max="7481" width="3.42578125" style="191" customWidth="1"/>
    <col min="7482" max="7482" width="17.28515625" style="191" customWidth="1"/>
    <col min="7483" max="7483" width="3.42578125" style="191" customWidth="1"/>
    <col min="7484" max="7484" width="16.7109375" style="191" customWidth="1"/>
    <col min="7485" max="7501" width="15.5703125" style="191" customWidth="1"/>
    <col min="7502" max="7682" width="11.42578125" style="191" customWidth="1"/>
    <col min="7683" max="7683" width="38.42578125" style="191" customWidth="1"/>
    <col min="7684" max="7684" width="17.140625" style="191" customWidth="1"/>
    <col min="7685" max="7685" width="19.85546875" style="191" customWidth="1"/>
    <col min="7686" max="7686" width="17.5703125" style="191" customWidth="1"/>
    <col min="7687" max="7687" width="16.42578125" style="191" customWidth="1"/>
    <col min="7688" max="7689" width="15.5703125" style="191" customWidth="1"/>
    <col min="7690" max="7692" width="16.42578125" style="191" customWidth="1"/>
    <col min="7693" max="7702" width="16.85546875" style="191" customWidth="1"/>
    <col min="7703" max="7706" width="16.42578125" style="191" customWidth="1"/>
    <col min="7707" max="7708" width="15.5703125" style="191" customWidth="1"/>
    <col min="7709" max="7711" width="16.42578125" style="191" customWidth="1"/>
    <col min="7712" max="7714" width="16.85546875" style="191" customWidth="1"/>
    <col min="7715" max="7715" width="17.5703125" style="191" customWidth="1"/>
    <col min="7716" max="7722" width="15.5703125" style="191" customWidth="1"/>
    <col min="7723" max="7723" width="16.7109375" style="191" customWidth="1"/>
    <col min="7724" max="7728" width="15.5703125" style="191" customWidth="1"/>
    <col min="7729" max="7734" width="11.5703125" style="191" hidden="1" customWidth="1"/>
    <col min="7735" max="7735" width="15.5703125" style="191" customWidth="1"/>
    <col min="7736" max="7736" width="18.7109375" style="191" customWidth="1"/>
    <col min="7737" max="7737" width="3.42578125" style="191" customWidth="1"/>
    <col min="7738" max="7738" width="17.28515625" style="191" customWidth="1"/>
    <col min="7739" max="7739" width="3.42578125" style="191" customWidth="1"/>
    <col min="7740" max="7740" width="16.7109375" style="191" customWidth="1"/>
    <col min="7741" max="7757" width="15.5703125" style="191" customWidth="1"/>
    <col min="7758" max="7938" width="11.42578125" style="191" customWidth="1"/>
    <col min="7939" max="7939" width="38.42578125" style="191" customWidth="1"/>
    <col min="7940" max="7940" width="17.140625" style="191" customWidth="1"/>
    <col min="7941" max="7941" width="19.85546875" style="191" customWidth="1"/>
    <col min="7942" max="7942" width="17.5703125" style="191" customWidth="1"/>
    <col min="7943" max="7943" width="16.42578125" style="191" customWidth="1"/>
    <col min="7944" max="7945" width="15.5703125" style="191" customWidth="1"/>
    <col min="7946" max="7948" width="16.42578125" style="191" customWidth="1"/>
    <col min="7949" max="7958" width="16.85546875" style="191" customWidth="1"/>
    <col min="7959" max="7962" width="16.42578125" style="191" customWidth="1"/>
    <col min="7963" max="7964" width="15.5703125" style="191" customWidth="1"/>
    <col min="7965" max="7967" width="16.42578125" style="191" customWidth="1"/>
    <col min="7968" max="7970" width="16.85546875" style="191" customWidth="1"/>
    <col min="7971" max="7971" width="17.5703125" style="191" customWidth="1"/>
    <col min="7972" max="7978" width="15.5703125" style="191" customWidth="1"/>
    <col min="7979" max="7979" width="16.7109375" style="191" customWidth="1"/>
    <col min="7980" max="7984" width="15.5703125" style="191" customWidth="1"/>
    <col min="7985" max="7990" width="11.5703125" style="191" hidden="1" customWidth="1"/>
    <col min="7991" max="7991" width="15.5703125" style="191" customWidth="1"/>
    <col min="7992" max="7992" width="18.7109375" style="191" customWidth="1"/>
    <col min="7993" max="7993" width="3.42578125" style="191" customWidth="1"/>
    <col min="7994" max="7994" width="17.28515625" style="191" customWidth="1"/>
    <col min="7995" max="7995" width="3.42578125" style="191" customWidth="1"/>
    <col min="7996" max="7996" width="16.7109375" style="191" customWidth="1"/>
    <col min="7997" max="8013" width="15.5703125" style="191" customWidth="1"/>
    <col min="8014" max="8194" width="11.42578125" style="191" customWidth="1"/>
    <col min="8195" max="8195" width="38.42578125" style="191" customWidth="1"/>
    <col min="8196" max="8196" width="17.140625" style="191" customWidth="1"/>
    <col min="8197" max="8197" width="19.85546875" style="191" customWidth="1"/>
    <col min="8198" max="8198" width="17.5703125" style="191" customWidth="1"/>
    <col min="8199" max="8199" width="16.42578125" style="191" customWidth="1"/>
    <col min="8200" max="8201" width="15.5703125" style="191" customWidth="1"/>
    <col min="8202" max="8204" width="16.42578125" style="191" customWidth="1"/>
    <col min="8205" max="8214" width="16.85546875" style="191" customWidth="1"/>
    <col min="8215" max="8218" width="16.42578125" style="191" customWidth="1"/>
    <col min="8219" max="8220" width="15.5703125" style="191" customWidth="1"/>
    <col min="8221" max="8223" width="16.42578125" style="191" customWidth="1"/>
    <col min="8224" max="8226" width="16.85546875" style="191" customWidth="1"/>
    <col min="8227" max="8227" width="17.5703125" style="191" customWidth="1"/>
    <col min="8228" max="8234" width="15.5703125" style="191" customWidth="1"/>
    <col min="8235" max="8235" width="16.7109375" style="191" customWidth="1"/>
    <col min="8236" max="8240" width="15.5703125" style="191" customWidth="1"/>
    <col min="8241" max="8246" width="11.5703125" style="191" hidden="1" customWidth="1"/>
    <col min="8247" max="8247" width="15.5703125" style="191" customWidth="1"/>
    <col min="8248" max="8248" width="18.7109375" style="191" customWidth="1"/>
    <col min="8249" max="8249" width="3.42578125" style="191" customWidth="1"/>
    <col min="8250" max="8250" width="17.28515625" style="191" customWidth="1"/>
    <col min="8251" max="8251" width="3.42578125" style="191" customWidth="1"/>
    <col min="8252" max="8252" width="16.7109375" style="191" customWidth="1"/>
    <col min="8253" max="8269" width="15.5703125" style="191" customWidth="1"/>
    <col min="8270" max="8450" width="11.42578125" style="191" customWidth="1"/>
    <col min="8451" max="8451" width="38.42578125" style="191" customWidth="1"/>
    <col min="8452" max="8452" width="17.140625" style="191" customWidth="1"/>
    <col min="8453" max="8453" width="19.85546875" style="191" customWidth="1"/>
    <col min="8454" max="8454" width="17.5703125" style="191" customWidth="1"/>
    <col min="8455" max="8455" width="16.42578125" style="191" customWidth="1"/>
    <col min="8456" max="8457" width="15.5703125" style="191" customWidth="1"/>
    <col min="8458" max="8460" width="16.42578125" style="191" customWidth="1"/>
    <col min="8461" max="8470" width="16.85546875" style="191" customWidth="1"/>
    <col min="8471" max="8474" width="16.42578125" style="191" customWidth="1"/>
    <col min="8475" max="8476" width="15.5703125" style="191" customWidth="1"/>
    <col min="8477" max="8479" width="16.42578125" style="191" customWidth="1"/>
    <col min="8480" max="8482" width="16.85546875" style="191" customWidth="1"/>
    <col min="8483" max="8483" width="17.5703125" style="191" customWidth="1"/>
    <col min="8484" max="8490" width="15.5703125" style="191" customWidth="1"/>
    <col min="8491" max="8491" width="16.7109375" style="191" customWidth="1"/>
    <col min="8492" max="8496" width="15.5703125" style="191" customWidth="1"/>
    <col min="8497" max="8502" width="11.5703125" style="191" hidden="1" customWidth="1"/>
    <col min="8503" max="8503" width="15.5703125" style="191" customWidth="1"/>
    <col min="8504" max="8504" width="18.7109375" style="191" customWidth="1"/>
    <col min="8505" max="8505" width="3.42578125" style="191" customWidth="1"/>
    <col min="8506" max="8506" width="17.28515625" style="191" customWidth="1"/>
    <col min="8507" max="8507" width="3.42578125" style="191" customWidth="1"/>
    <col min="8508" max="8508" width="16.7109375" style="191" customWidth="1"/>
    <col min="8509" max="8525" width="15.5703125" style="191" customWidth="1"/>
    <col min="8526" max="8706" width="11.42578125" style="191" customWidth="1"/>
    <col min="8707" max="8707" width="38.42578125" style="191" customWidth="1"/>
    <col min="8708" max="8708" width="17.140625" style="191" customWidth="1"/>
    <col min="8709" max="8709" width="19.85546875" style="191" customWidth="1"/>
    <col min="8710" max="8710" width="17.5703125" style="191" customWidth="1"/>
    <col min="8711" max="8711" width="16.42578125" style="191" customWidth="1"/>
    <col min="8712" max="8713" width="15.5703125" style="191" customWidth="1"/>
    <col min="8714" max="8716" width="16.42578125" style="191" customWidth="1"/>
    <col min="8717" max="8726" width="16.85546875" style="191" customWidth="1"/>
    <col min="8727" max="8730" width="16.42578125" style="191" customWidth="1"/>
    <col min="8731" max="8732" width="15.5703125" style="191" customWidth="1"/>
    <col min="8733" max="8735" width="16.42578125" style="191" customWidth="1"/>
    <col min="8736" max="8738" width="16.85546875" style="191" customWidth="1"/>
    <col min="8739" max="8739" width="17.5703125" style="191" customWidth="1"/>
    <col min="8740" max="8746" width="15.5703125" style="191" customWidth="1"/>
    <col min="8747" max="8747" width="16.7109375" style="191" customWidth="1"/>
    <col min="8748" max="8752" width="15.5703125" style="191" customWidth="1"/>
    <col min="8753" max="8758" width="11.5703125" style="191" hidden="1" customWidth="1"/>
    <col min="8759" max="8759" width="15.5703125" style="191" customWidth="1"/>
    <col min="8760" max="8760" width="18.7109375" style="191" customWidth="1"/>
    <col min="8761" max="8761" width="3.42578125" style="191" customWidth="1"/>
    <col min="8762" max="8762" width="17.28515625" style="191" customWidth="1"/>
    <col min="8763" max="8763" width="3.42578125" style="191" customWidth="1"/>
    <col min="8764" max="8764" width="16.7109375" style="191" customWidth="1"/>
    <col min="8765" max="8781" width="15.5703125" style="191" customWidth="1"/>
    <col min="8782" max="8962" width="11.42578125" style="191" customWidth="1"/>
    <col min="8963" max="8963" width="38.42578125" style="191" customWidth="1"/>
    <col min="8964" max="8964" width="17.140625" style="191" customWidth="1"/>
    <col min="8965" max="8965" width="19.85546875" style="191" customWidth="1"/>
    <col min="8966" max="8966" width="17.5703125" style="191" customWidth="1"/>
    <col min="8967" max="8967" width="16.42578125" style="191" customWidth="1"/>
    <col min="8968" max="8969" width="15.5703125" style="191" customWidth="1"/>
    <col min="8970" max="8972" width="16.42578125" style="191" customWidth="1"/>
    <col min="8973" max="8982" width="16.85546875" style="191" customWidth="1"/>
    <col min="8983" max="8986" width="16.42578125" style="191" customWidth="1"/>
    <col min="8987" max="8988" width="15.5703125" style="191" customWidth="1"/>
    <col min="8989" max="8991" width="16.42578125" style="191" customWidth="1"/>
    <col min="8992" max="8994" width="16.85546875" style="191" customWidth="1"/>
    <col min="8995" max="8995" width="17.5703125" style="191" customWidth="1"/>
    <col min="8996" max="9002" width="15.5703125" style="191" customWidth="1"/>
    <col min="9003" max="9003" width="16.7109375" style="191" customWidth="1"/>
    <col min="9004" max="9008" width="15.5703125" style="191" customWidth="1"/>
    <col min="9009" max="9014" width="11.5703125" style="191" hidden="1" customWidth="1"/>
    <col min="9015" max="9015" width="15.5703125" style="191" customWidth="1"/>
    <col min="9016" max="9016" width="18.7109375" style="191" customWidth="1"/>
    <col min="9017" max="9017" width="3.42578125" style="191" customWidth="1"/>
    <col min="9018" max="9018" width="17.28515625" style="191" customWidth="1"/>
    <col min="9019" max="9019" width="3.42578125" style="191" customWidth="1"/>
    <col min="9020" max="9020" width="16.7109375" style="191" customWidth="1"/>
    <col min="9021" max="9037" width="15.5703125" style="191" customWidth="1"/>
    <col min="9038" max="9218" width="11.42578125" style="191" customWidth="1"/>
    <col min="9219" max="9219" width="38.42578125" style="191" customWidth="1"/>
    <col min="9220" max="9220" width="17.140625" style="191" customWidth="1"/>
    <col min="9221" max="9221" width="19.85546875" style="191" customWidth="1"/>
    <col min="9222" max="9222" width="17.5703125" style="191" customWidth="1"/>
    <col min="9223" max="9223" width="16.42578125" style="191" customWidth="1"/>
    <col min="9224" max="9225" width="15.5703125" style="191" customWidth="1"/>
    <col min="9226" max="9228" width="16.42578125" style="191" customWidth="1"/>
    <col min="9229" max="9238" width="16.85546875" style="191" customWidth="1"/>
    <col min="9239" max="9242" width="16.42578125" style="191" customWidth="1"/>
    <col min="9243" max="9244" width="15.5703125" style="191" customWidth="1"/>
    <col min="9245" max="9247" width="16.42578125" style="191" customWidth="1"/>
    <col min="9248" max="9250" width="16.85546875" style="191" customWidth="1"/>
    <col min="9251" max="9251" width="17.5703125" style="191" customWidth="1"/>
    <col min="9252" max="9258" width="15.5703125" style="191" customWidth="1"/>
    <col min="9259" max="9259" width="16.7109375" style="191" customWidth="1"/>
    <col min="9260" max="9264" width="15.5703125" style="191" customWidth="1"/>
    <col min="9265" max="9270" width="11.5703125" style="191" hidden="1" customWidth="1"/>
    <col min="9271" max="9271" width="15.5703125" style="191" customWidth="1"/>
    <col min="9272" max="9272" width="18.7109375" style="191" customWidth="1"/>
    <col min="9273" max="9273" width="3.42578125" style="191" customWidth="1"/>
    <col min="9274" max="9274" width="17.28515625" style="191" customWidth="1"/>
    <col min="9275" max="9275" width="3.42578125" style="191" customWidth="1"/>
    <col min="9276" max="9276" width="16.7109375" style="191" customWidth="1"/>
    <col min="9277" max="9293" width="15.5703125" style="191" customWidth="1"/>
    <col min="9294" max="9474" width="11.42578125" style="191" customWidth="1"/>
    <col min="9475" max="9475" width="38.42578125" style="191" customWidth="1"/>
    <col min="9476" max="9476" width="17.140625" style="191" customWidth="1"/>
    <col min="9477" max="9477" width="19.85546875" style="191" customWidth="1"/>
    <col min="9478" max="9478" width="17.5703125" style="191" customWidth="1"/>
    <col min="9479" max="9479" width="16.42578125" style="191" customWidth="1"/>
    <col min="9480" max="9481" width="15.5703125" style="191" customWidth="1"/>
    <col min="9482" max="9484" width="16.42578125" style="191" customWidth="1"/>
    <col min="9485" max="9494" width="16.85546875" style="191" customWidth="1"/>
    <col min="9495" max="9498" width="16.42578125" style="191" customWidth="1"/>
    <col min="9499" max="9500" width="15.5703125" style="191" customWidth="1"/>
    <col min="9501" max="9503" width="16.42578125" style="191" customWidth="1"/>
    <col min="9504" max="9506" width="16.85546875" style="191" customWidth="1"/>
    <col min="9507" max="9507" width="17.5703125" style="191" customWidth="1"/>
    <col min="9508" max="9514" width="15.5703125" style="191" customWidth="1"/>
    <col min="9515" max="9515" width="16.7109375" style="191" customWidth="1"/>
    <col min="9516" max="9520" width="15.5703125" style="191" customWidth="1"/>
    <col min="9521" max="9526" width="11.5703125" style="191" hidden="1" customWidth="1"/>
    <col min="9527" max="9527" width="15.5703125" style="191" customWidth="1"/>
    <col min="9528" max="9528" width="18.7109375" style="191" customWidth="1"/>
    <col min="9529" max="9529" width="3.42578125" style="191" customWidth="1"/>
    <col min="9530" max="9530" width="17.28515625" style="191" customWidth="1"/>
    <col min="9531" max="9531" width="3.42578125" style="191" customWidth="1"/>
    <col min="9532" max="9532" width="16.7109375" style="191" customWidth="1"/>
    <col min="9533" max="9549" width="15.5703125" style="191" customWidth="1"/>
    <col min="9550" max="9730" width="11.42578125" style="191" customWidth="1"/>
    <col min="9731" max="9731" width="38.42578125" style="191" customWidth="1"/>
    <col min="9732" max="9732" width="17.140625" style="191" customWidth="1"/>
    <col min="9733" max="9733" width="19.85546875" style="191" customWidth="1"/>
    <col min="9734" max="9734" width="17.5703125" style="191" customWidth="1"/>
    <col min="9735" max="9735" width="16.42578125" style="191" customWidth="1"/>
    <col min="9736" max="9737" width="15.5703125" style="191" customWidth="1"/>
    <col min="9738" max="9740" width="16.42578125" style="191" customWidth="1"/>
    <col min="9741" max="9750" width="16.85546875" style="191" customWidth="1"/>
    <col min="9751" max="9754" width="16.42578125" style="191" customWidth="1"/>
    <col min="9755" max="9756" width="15.5703125" style="191" customWidth="1"/>
    <col min="9757" max="9759" width="16.42578125" style="191" customWidth="1"/>
    <col min="9760" max="9762" width="16.85546875" style="191" customWidth="1"/>
    <col min="9763" max="9763" width="17.5703125" style="191" customWidth="1"/>
    <col min="9764" max="9770" width="15.5703125" style="191" customWidth="1"/>
    <col min="9771" max="9771" width="16.7109375" style="191" customWidth="1"/>
    <col min="9772" max="9776" width="15.5703125" style="191" customWidth="1"/>
    <col min="9777" max="9782" width="11.5703125" style="191" hidden="1" customWidth="1"/>
    <col min="9783" max="9783" width="15.5703125" style="191" customWidth="1"/>
    <col min="9784" max="9784" width="18.7109375" style="191" customWidth="1"/>
    <col min="9785" max="9785" width="3.42578125" style="191" customWidth="1"/>
    <col min="9786" max="9786" width="17.28515625" style="191" customWidth="1"/>
    <col min="9787" max="9787" width="3.42578125" style="191" customWidth="1"/>
    <col min="9788" max="9788" width="16.7109375" style="191" customWidth="1"/>
    <col min="9789" max="9805" width="15.5703125" style="191" customWidth="1"/>
    <col min="9806" max="9986" width="11.42578125" style="191" customWidth="1"/>
    <col min="9987" max="9987" width="38.42578125" style="191" customWidth="1"/>
    <col min="9988" max="9988" width="17.140625" style="191" customWidth="1"/>
    <col min="9989" max="9989" width="19.85546875" style="191" customWidth="1"/>
    <col min="9990" max="9990" width="17.5703125" style="191" customWidth="1"/>
    <col min="9991" max="9991" width="16.42578125" style="191" customWidth="1"/>
    <col min="9992" max="9993" width="15.5703125" style="191" customWidth="1"/>
    <col min="9994" max="9996" width="16.42578125" style="191" customWidth="1"/>
    <col min="9997" max="10006" width="16.85546875" style="191" customWidth="1"/>
    <col min="10007" max="10010" width="16.42578125" style="191" customWidth="1"/>
    <col min="10011" max="10012" width="15.5703125" style="191" customWidth="1"/>
    <col min="10013" max="10015" width="16.42578125" style="191" customWidth="1"/>
    <col min="10016" max="10018" width="16.85546875" style="191" customWidth="1"/>
    <col min="10019" max="10019" width="17.5703125" style="191" customWidth="1"/>
    <col min="10020" max="10026" width="15.5703125" style="191" customWidth="1"/>
    <col min="10027" max="10027" width="16.7109375" style="191" customWidth="1"/>
    <col min="10028" max="10032" width="15.5703125" style="191" customWidth="1"/>
    <col min="10033" max="10038" width="11.5703125" style="191" hidden="1" customWidth="1"/>
    <col min="10039" max="10039" width="15.5703125" style="191" customWidth="1"/>
    <col min="10040" max="10040" width="18.7109375" style="191" customWidth="1"/>
    <col min="10041" max="10041" width="3.42578125" style="191" customWidth="1"/>
    <col min="10042" max="10042" width="17.28515625" style="191" customWidth="1"/>
    <col min="10043" max="10043" width="3.42578125" style="191" customWidth="1"/>
    <col min="10044" max="10044" width="16.7109375" style="191" customWidth="1"/>
    <col min="10045" max="10061" width="15.5703125" style="191" customWidth="1"/>
    <col min="10062" max="10242" width="11.42578125" style="191" customWidth="1"/>
    <col min="10243" max="10243" width="38.42578125" style="191" customWidth="1"/>
    <col min="10244" max="10244" width="17.140625" style="191" customWidth="1"/>
    <col min="10245" max="10245" width="19.85546875" style="191" customWidth="1"/>
    <col min="10246" max="10246" width="17.5703125" style="191" customWidth="1"/>
    <col min="10247" max="10247" width="16.42578125" style="191" customWidth="1"/>
    <col min="10248" max="10249" width="15.5703125" style="191" customWidth="1"/>
    <col min="10250" max="10252" width="16.42578125" style="191" customWidth="1"/>
    <col min="10253" max="10262" width="16.85546875" style="191" customWidth="1"/>
    <col min="10263" max="10266" width="16.42578125" style="191" customWidth="1"/>
    <col min="10267" max="10268" width="15.5703125" style="191" customWidth="1"/>
    <col min="10269" max="10271" width="16.42578125" style="191" customWidth="1"/>
    <col min="10272" max="10274" width="16.85546875" style="191" customWidth="1"/>
    <col min="10275" max="10275" width="17.5703125" style="191" customWidth="1"/>
    <col min="10276" max="10282" width="15.5703125" style="191" customWidth="1"/>
    <col min="10283" max="10283" width="16.7109375" style="191" customWidth="1"/>
    <col min="10284" max="10288" width="15.5703125" style="191" customWidth="1"/>
    <col min="10289" max="10294" width="11.5703125" style="191" hidden="1" customWidth="1"/>
    <col min="10295" max="10295" width="15.5703125" style="191" customWidth="1"/>
    <col min="10296" max="10296" width="18.7109375" style="191" customWidth="1"/>
    <col min="10297" max="10297" width="3.42578125" style="191" customWidth="1"/>
    <col min="10298" max="10298" width="17.28515625" style="191" customWidth="1"/>
    <col min="10299" max="10299" width="3.42578125" style="191" customWidth="1"/>
    <col min="10300" max="10300" width="16.7109375" style="191" customWidth="1"/>
    <col min="10301" max="10317" width="15.5703125" style="191" customWidth="1"/>
    <col min="10318" max="10498" width="11.42578125" style="191" customWidth="1"/>
    <col min="10499" max="10499" width="38.42578125" style="191" customWidth="1"/>
    <col min="10500" max="10500" width="17.140625" style="191" customWidth="1"/>
    <col min="10501" max="10501" width="19.85546875" style="191" customWidth="1"/>
    <col min="10502" max="10502" width="17.5703125" style="191" customWidth="1"/>
    <col min="10503" max="10503" width="16.42578125" style="191" customWidth="1"/>
    <col min="10504" max="10505" width="15.5703125" style="191" customWidth="1"/>
    <col min="10506" max="10508" width="16.42578125" style="191" customWidth="1"/>
    <col min="10509" max="10518" width="16.85546875" style="191" customWidth="1"/>
    <col min="10519" max="10522" width="16.42578125" style="191" customWidth="1"/>
    <col min="10523" max="10524" width="15.5703125" style="191" customWidth="1"/>
    <col min="10525" max="10527" width="16.42578125" style="191" customWidth="1"/>
    <col min="10528" max="10530" width="16.85546875" style="191" customWidth="1"/>
    <col min="10531" max="10531" width="17.5703125" style="191" customWidth="1"/>
    <col min="10532" max="10538" width="15.5703125" style="191" customWidth="1"/>
    <col min="10539" max="10539" width="16.7109375" style="191" customWidth="1"/>
    <col min="10540" max="10544" width="15.5703125" style="191" customWidth="1"/>
    <col min="10545" max="10550" width="11.5703125" style="191" hidden="1" customWidth="1"/>
    <col min="10551" max="10551" width="15.5703125" style="191" customWidth="1"/>
    <col min="10552" max="10552" width="18.7109375" style="191" customWidth="1"/>
    <col min="10553" max="10553" width="3.42578125" style="191" customWidth="1"/>
    <col min="10554" max="10554" width="17.28515625" style="191" customWidth="1"/>
    <col min="10555" max="10555" width="3.42578125" style="191" customWidth="1"/>
    <col min="10556" max="10556" width="16.7109375" style="191" customWidth="1"/>
    <col min="10557" max="10573" width="15.5703125" style="191" customWidth="1"/>
    <col min="10574" max="10754" width="11.42578125" style="191" customWidth="1"/>
    <col min="10755" max="10755" width="38.42578125" style="191" customWidth="1"/>
    <col min="10756" max="10756" width="17.140625" style="191" customWidth="1"/>
    <col min="10757" max="10757" width="19.85546875" style="191" customWidth="1"/>
    <col min="10758" max="10758" width="17.5703125" style="191" customWidth="1"/>
    <col min="10759" max="10759" width="16.42578125" style="191" customWidth="1"/>
    <col min="10760" max="10761" width="15.5703125" style="191" customWidth="1"/>
    <col min="10762" max="10764" width="16.42578125" style="191" customWidth="1"/>
    <col min="10765" max="10774" width="16.85546875" style="191" customWidth="1"/>
    <col min="10775" max="10778" width="16.42578125" style="191" customWidth="1"/>
    <col min="10779" max="10780" width="15.5703125" style="191" customWidth="1"/>
    <col min="10781" max="10783" width="16.42578125" style="191" customWidth="1"/>
    <col min="10784" max="10786" width="16.85546875" style="191" customWidth="1"/>
    <col min="10787" max="10787" width="17.5703125" style="191" customWidth="1"/>
    <col min="10788" max="10794" width="15.5703125" style="191" customWidth="1"/>
    <col min="10795" max="10795" width="16.7109375" style="191" customWidth="1"/>
    <col min="10796" max="10800" width="15.5703125" style="191" customWidth="1"/>
    <col min="10801" max="10806" width="11.5703125" style="191" hidden="1" customWidth="1"/>
    <col min="10807" max="10807" width="15.5703125" style="191" customWidth="1"/>
    <col min="10808" max="10808" width="18.7109375" style="191" customWidth="1"/>
    <col min="10809" max="10809" width="3.42578125" style="191" customWidth="1"/>
    <col min="10810" max="10810" width="17.28515625" style="191" customWidth="1"/>
    <col min="10811" max="10811" width="3.42578125" style="191" customWidth="1"/>
    <col min="10812" max="10812" width="16.7109375" style="191" customWidth="1"/>
    <col min="10813" max="10829" width="15.5703125" style="191" customWidth="1"/>
    <col min="10830" max="11010" width="11.42578125" style="191" customWidth="1"/>
    <col min="11011" max="11011" width="38.42578125" style="191" customWidth="1"/>
    <col min="11012" max="11012" width="17.140625" style="191" customWidth="1"/>
    <col min="11013" max="11013" width="19.85546875" style="191" customWidth="1"/>
    <col min="11014" max="11014" width="17.5703125" style="191" customWidth="1"/>
    <col min="11015" max="11015" width="16.42578125" style="191" customWidth="1"/>
    <col min="11016" max="11017" width="15.5703125" style="191" customWidth="1"/>
    <col min="11018" max="11020" width="16.42578125" style="191" customWidth="1"/>
    <col min="11021" max="11030" width="16.85546875" style="191" customWidth="1"/>
    <col min="11031" max="11034" width="16.42578125" style="191" customWidth="1"/>
    <col min="11035" max="11036" width="15.5703125" style="191" customWidth="1"/>
    <col min="11037" max="11039" width="16.42578125" style="191" customWidth="1"/>
    <col min="11040" max="11042" width="16.85546875" style="191" customWidth="1"/>
    <col min="11043" max="11043" width="17.5703125" style="191" customWidth="1"/>
    <col min="11044" max="11050" width="15.5703125" style="191" customWidth="1"/>
    <col min="11051" max="11051" width="16.7109375" style="191" customWidth="1"/>
    <col min="11052" max="11056" width="15.5703125" style="191" customWidth="1"/>
    <col min="11057" max="11062" width="11.5703125" style="191" hidden="1" customWidth="1"/>
    <col min="11063" max="11063" width="15.5703125" style="191" customWidth="1"/>
    <col min="11064" max="11064" width="18.7109375" style="191" customWidth="1"/>
    <col min="11065" max="11065" width="3.42578125" style="191" customWidth="1"/>
    <col min="11066" max="11066" width="17.28515625" style="191" customWidth="1"/>
    <col min="11067" max="11067" width="3.42578125" style="191" customWidth="1"/>
    <col min="11068" max="11068" width="16.7109375" style="191" customWidth="1"/>
    <col min="11069" max="11085" width="15.5703125" style="191" customWidth="1"/>
    <col min="11086" max="11266" width="11.42578125" style="191" customWidth="1"/>
    <col min="11267" max="11267" width="38.42578125" style="191" customWidth="1"/>
    <col min="11268" max="11268" width="17.140625" style="191" customWidth="1"/>
    <col min="11269" max="11269" width="19.85546875" style="191" customWidth="1"/>
    <col min="11270" max="11270" width="17.5703125" style="191" customWidth="1"/>
    <col min="11271" max="11271" width="16.42578125" style="191" customWidth="1"/>
    <col min="11272" max="11273" width="15.5703125" style="191" customWidth="1"/>
    <col min="11274" max="11276" width="16.42578125" style="191" customWidth="1"/>
    <col min="11277" max="11286" width="16.85546875" style="191" customWidth="1"/>
    <col min="11287" max="11290" width="16.42578125" style="191" customWidth="1"/>
    <col min="11291" max="11292" width="15.5703125" style="191" customWidth="1"/>
    <col min="11293" max="11295" width="16.42578125" style="191" customWidth="1"/>
    <col min="11296" max="11298" width="16.85546875" style="191" customWidth="1"/>
    <col min="11299" max="11299" width="17.5703125" style="191" customWidth="1"/>
    <col min="11300" max="11306" width="15.5703125" style="191" customWidth="1"/>
    <col min="11307" max="11307" width="16.7109375" style="191" customWidth="1"/>
    <col min="11308" max="11312" width="15.5703125" style="191" customWidth="1"/>
    <col min="11313" max="11318" width="11.5703125" style="191" hidden="1" customWidth="1"/>
    <col min="11319" max="11319" width="15.5703125" style="191" customWidth="1"/>
    <col min="11320" max="11320" width="18.7109375" style="191" customWidth="1"/>
    <col min="11321" max="11321" width="3.42578125" style="191" customWidth="1"/>
    <col min="11322" max="11322" width="17.28515625" style="191" customWidth="1"/>
    <col min="11323" max="11323" width="3.42578125" style="191" customWidth="1"/>
    <col min="11324" max="11324" width="16.7109375" style="191" customWidth="1"/>
    <col min="11325" max="11341" width="15.5703125" style="191" customWidth="1"/>
    <col min="11342" max="11522" width="11.42578125" style="191" customWidth="1"/>
    <col min="11523" max="11523" width="38.42578125" style="191" customWidth="1"/>
    <col min="11524" max="11524" width="17.140625" style="191" customWidth="1"/>
    <col min="11525" max="11525" width="19.85546875" style="191" customWidth="1"/>
    <col min="11526" max="11526" width="17.5703125" style="191" customWidth="1"/>
    <col min="11527" max="11527" width="16.42578125" style="191" customWidth="1"/>
    <col min="11528" max="11529" width="15.5703125" style="191" customWidth="1"/>
    <col min="11530" max="11532" width="16.42578125" style="191" customWidth="1"/>
    <col min="11533" max="11542" width="16.85546875" style="191" customWidth="1"/>
    <col min="11543" max="11546" width="16.42578125" style="191" customWidth="1"/>
    <col min="11547" max="11548" width="15.5703125" style="191" customWidth="1"/>
    <col min="11549" max="11551" width="16.42578125" style="191" customWidth="1"/>
    <col min="11552" max="11554" width="16.85546875" style="191" customWidth="1"/>
    <col min="11555" max="11555" width="17.5703125" style="191" customWidth="1"/>
    <col min="11556" max="11562" width="15.5703125" style="191" customWidth="1"/>
    <col min="11563" max="11563" width="16.7109375" style="191" customWidth="1"/>
    <col min="11564" max="11568" width="15.5703125" style="191" customWidth="1"/>
    <col min="11569" max="11574" width="11.5703125" style="191" hidden="1" customWidth="1"/>
    <col min="11575" max="11575" width="15.5703125" style="191" customWidth="1"/>
    <col min="11576" max="11576" width="18.7109375" style="191" customWidth="1"/>
    <col min="11577" max="11577" width="3.42578125" style="191" customWidth="1"/>
    <col min="11578" max="11578" width="17.28515625" style="191" customWidth="1"/>
    <col min="11579" max="11579" width="3.42578125" style="191" customWidth="1"/>
    <col min="11580" max="11580" width="16.7109375" style="191" customWidth="1"/>
    <col min="11581" max="11597" width="15.5703125" style="191" customWidth="1"/>
    <col min="11598" max="11778" width="11.42578125" style="191" customWidth="1"/>
    <col min="11779" max="11779" width="38.42578125" style="191" customWidth="1"/>
    <col min="11780" max="11780" width="17.140625" style="191" customWidth="1"/>
    <col min="11781" max="11781" width="19.85546875" style="191" customWidth="1"/>
    <col min="11782" max="11782" width="17.5703125" style="191" customWidth="1"/>
    <col min="11783" max="11783" width="16.42578125" style="191" customWidth="1"/>
    <col min="11784" max="11785" width="15.5703125" style="191" customWidth="1"/>
    <col min="11786" max="11788" width="16.42578125" style="191" customWidth="1"/>
    <col min="11789" max="11798" width="16.85546875" style="191" customWidth="1"/>
    <col min="11799" max="11802" width="16.42578125" style="191" customWidth="1"/>
    <col min="11803" max="11804" width="15.5703125" style="191" customWidth="1"/>
    <col min="11805" max="11807" width="16.42578125" style="191" customWidth="1"/>
    <col min="11808" max="11810" width="16.85546875" style="191" customWidth="1"/>
    <col min="11811" max="11811" width="17.5703125" style="191" customWidth="1"/>
    <col min="11812" max="11818" width="15.5703125" style="191" customWidth="1"/>
    <col min="11819" max="11819" width="16.7109375" style="191" customWidth="1"/>
    <col min="11820" max="11824" width="15.5703125" style="191" customWidth="1"/>
    <col min="11825" max="11830" width="11.5703125" style="191" hidden="1" customWidth="1"/>
    <col min="11831" max="11831" width="15.5703125" style="191" customWidth="1"/>
    <col min="11832" max="11832" width="18.7109375" style="191" customWidth="1"/>
    <col min="11833" max="11833" width="3.42578125" style="191" customWidth="1"/>
    <col min="11834" max="11834" width="17.28515625" style="191" customWidth="1"/>
    <col min="11835" max="11835" width="3.42578125" style="191" customWidth="1"/>
    <col min="11836" max="11836" width="16.7109375" style="191" customWidth="1"/>
    <col min="11837" max="11853" width="15.5703125" style="191" customWidth="1"/>
    <col min="11854" max="12034" width="11.42578125" style="191" customWidth="1"/>
    <col min="12035" max="12035" width="38.42578125" style="191" customWidth="1"/>
    <col min="12036" max="12036" width="17.140625" style="191" customWidth="1"/>
    <col min="12037" max="12037" width="19.85546875" style="191" customWidth="1"/>
    <col min="12038" max="12038" width="17.5703125" style="191" customWidth="1"/>
    <col min="12039" max="12039" width="16.42578125" style="191" customWidth="1"/>
    <col min="12040" max="12041" width="15.5703125" style="191" customWidth="1"/>
    <col min="12042" max="12044" width="16.42578125" style="191" customWidth="1"/>
    <col min="12045" max="12054" width="16.85546875" style="191" customWidth="1"/>
    <col min="12055" max="12058" width="16.42578125" style="191" customWidth="1"/>
    <col min="12059" max="12060" width="15.5703125" style="191" customWidth="1"/>
    <col min="12061" max="12063" width="16.42578125" style="191" customWidth="1"/>
    <col min="12064" max="12066" width="16.85546875" style="191" customWidth="1"/>
    <col min="12067" max="12067" width="17.5703125" style="191" customWidth="1"/>
    <col min="12068" max="12074" width="15.5703125" style="191" customWidth="1"/>
    <col min="12075" max="12075" width="16.7109375" style="191" customWidth="1"/>
    <col min="12076" max="12080" width="15.5703125" style="191" customWidth="1"/>
    <col min="12081" max="12086" width="11.5703125" style="191" hidden="1" customWidth="1"/>
    <col min="12087" max="12087" width="15.5703125" style="191" customWidth="1"/>
    <col min="12088" max="12088" width="18.7109375" style="191" customWidth="1"/>
    <col min="12089" max="12089" width="3.42578125" style="191" customWidth="1"/>
    <col min="12090" max="12090" width="17.28515625" style="191" customWidth="1"/>
    <col min="12091" max="12091" width="3.42578125" style="191" customWidth="1"/>
    <col min="12092" max="12092" width="16.7109375" style="191" customWidth="1"/>
    <col min="12093" max="12109" width="15.5703125" style="191" customWidth="1"/>
    <col min="12110" max="12290" width="11.42578125" style="191" customWidth="1"/>
    <col min="12291" max="12291" width="38.42578125" style="191" customWidth="1"/>
    <col min="12292" max="12292" width="17.140625" style="191" customWidth="1"/>
    <col min="12293" max="12293" width="19.85546875" style="191" customWidth="1"/>
    <col min="12294" max="12294" width="17.5703125" style="191" customWidth="1"/>
    <col min="12295" max="12295" width="16.42578125" style="191" customWidth="1"/>
    <col min="12296" max="12297" width="15.5703125" style="191" customWidth="1"/>
    <col min="12298" max="12300" width="16.42578125" style="191" customWidth="1"/>
    <col min="12301" max="12310" width="16.85546875" style="191" customWidth="1"/>
    <col min="12311" max="12314" width="16.42578125" style="191" customWidth="1"/>
    <col min="12315" max="12316" width="15.5703125" style="191" customWidth="1"/>
    <col min="12317" max="12319" width="16.42578125" style="191" customWidth="1"/>
    <col min="12320" max="12322" width="16.85546875" style="191" customWidth="1"/>
    <col min="12323" max="12323" width="17.5703125" style="191" customWidth="1"/>
    <col min="12324" max="12330" width="15.5703125" style="191" customWidth="1"/>
    <col min="12331" max="12331" width="16.7109375" style="191" customWidth="1"/>
    <col min="12332" max="12336" width="15.5703125" style="191" customWidth="1"/>
    <col min="12337" max="12342" width="11.5703125" style="191" hidden="1" customWidth="1"/>
    <col min="12343" max="12343" width="15.5703125" style="191" customWidth="1"/>
    <col min="12344" max="12344" width="18.7109375" style="191" customWidth="1"/>
    <col min="12345" max="12345" width="3.42578125" style="191" customWidth="1"/>
    <col min="12346" max="12346" width="17.28515625" style="191" customWidth="1"/>
    <col min="12347" max="12347" width="3.42578125" style="191" customWidth="1"/>
    <col min="12348" max="12348" width="16.7109375" style="191" customWidth="1"/>
    <col min="12349" max="12365" width="15.5703125" style="191" customWidth="1"/>
    <col min="12366" max="12546" width="11.42578125" style="191" customWidth="1"/>
    <col min="12547" max="12547" width="38.42578125" style="191" customWidth="1"/>
    <col min="12548" max="12548" width="17.140625" style="191" customWidth="1"/>
    <col min="12549" max="12549" width="19.85546875" style="191" customWidth="1"/>
    <col min="12550" max="12550" width="17.5703125" style="191" customWidth="1"/>
    <col min="12551" max="12551" width="16.42578125" style="191" customWidth="1"/>
    <col min="12552" max="12553" width="15.5703125" style="191" customWidth="1"/>
    <col min="12554" max="12556" width="16.42578125" style="191" customWidth="1"/>
    <col min="12557" max="12566" width="16.85546875" style="191" customWidth="1"/>
    <col min="12567" max="12570" width="16.42578125" style="191" customWidth="1"/>
    <col min="12571" max="12572" width="15.5703125" style="191" customWidth="1"/>
    <col min="12573" max="12575" width="16.42578125" style="191" customWidth="1"/>
    <col min="12576" max="12578" width="16.85546875" style="191" customWidth="1"/>
    <col min="12579" max="12579" width="17.5703125" style="191" customWidth="1"/>
    <col min="12580" max="12586" width="15.5703125" style="191" customWidth="1"/>
    <col min="12587" max="12587" width="16.7109375" style="191" customWidth="1"/>
    <col min="12588" max="12592" width="15.5703125" style="191" customWidth="1"/>
    <col min="12593" max="12598" width="11.5703125" style="191" hidden="1" customWidth="1"/>
    <col min="12599" max="12599" width="15.5703125" style="191" customWidth="1"/>
    <col min="12600" max="12600" width="18.7109375" style="191" customWidth="1"/>
    <col min="12601" max="12601" width="3.42578125" style="191" customWidth="1"/>
    <col min="12602" max="12602" width="17.28515625" style="191" customWidth="1"/>
    <col min="12603" max="12603" width="3.42578125" style="191" customWidth="1"/>
    <col min="12604" max="12604" width="16.7109375" style="191" customWidth="1"/>
    <col min="12605" max="12621" width="15.5703125" style="191" customWidth="1"/>
    <col min="12622" max="12802" width="11.42578125" style="191" customWidth="1"/>
    <col min="12803" max="12803" width="38.42578125" style="191" customWidth="1"/>
    <col min="12804" max="12804" width="17.140625" style="191" customWidth="1"/>
    <col min="12805" max="12805" width="19.85546875" style="191" customWidth="1"/>
    <col min="12806" max="12806" width="17.5703125" style="191" customWidth="1"/>
    <col min="12807" max="12807" width="16.42578125" style="191" customWidth="1"/>
    <col min="12808" max="12809" width="15.5703125" style="191" customWidth="1"/>
    <col min="12810" max="12812" width="16.42578125" style="191" customWidth="1"/>
    <col min="12813" max="12822" width="16.85546875" style="191" customWidth="1"/>
    <col min="12823" max="12826" width="16.42578125" style="191" customWidth="1"/>
    <col min="12827" max="12828" width="15.5703125" style="191" customWidth="1"/>
    <col min="12829" max="12831" width="16.42578125" style="191" customWidth="1"/>
    <col min="12832" max="12834" width="16.85546875" style="191" customWidth="1"/>
    <col min="12835" max="12835" width="17.5703125" style="191" customWidth="1"/>
    <col min="12836" max="12842" width="15.5703125" style="191" customWidth="1"/>
    <col min="12843" max="12843" width="16.7109375" style="191" customWidth="1"/>
    <col min="12844" max="12848" width="15.5703125" style="191" customWidth="1"/>
    <col min="12849" max="12854" width="11.5703125" style="191" hidden="1" customWidth="1"/>
    <col min="12855" max="12855" width="15.5703125" style="191" customWidth="1"/>
    <col min="12856" max="12856" width="18.7109375" style="191" customWidth="1"/>
    <col min="12857" max="12857" width="3.42578125" style="191" customWidth="1"/>
    <col min="12858" max="12858" width="17.28515625" style="191" customWidth="1"/>
    <col min="12859" max="12859" width="3.42578125" style="191" customWidth="1"/>
    <col min="12860" max="12860" width="16.7109375" style="191" customWidth="1"/>
    <col min="12861" max="12877" width="15.5703125" style="191" customWidth="1"/>
    <col min="12878" max="13058" width="11.42578125" style="191" customWidth="1"/>
    <col min="13059" max="13059" width="38.42578125" style="191" customWidth="1"/>
    <col min="13060" max="13060" width="17.140625" style="191" customWidth="1"/>
    <col min="13061" max="13061" width="19.85546875" style="191" customWidth="1"/>
    <col min="13062" max="13062" width="17.5703125" style="191" customWidth="1"/>
    <col min="13063" max="13063" width="16.42578125" style="191" customWidth="1"/>
    <col min="13064" max="13065" width="15.5703125" style="191" customWidth="1"/>
    <col min="13066" max="13068" width="16.42578125" style="191" customWidth="1"/>
    <col min="13069" max="13078" width="16.85546875" style="191" customWidth="1"/>
    <col min="13079" max="13082" width="16.42578125" style="191" customWidth="1"/>
    <col min="13083" max="13084" width="15.5703125" style="191" customWidth="1"/>
    <col min="13085" max="13087" width="16.42578125" style="191" customWidth="1"/>
    <col min="13088" max="13090" width="16.85546875" style="191" customWidth="1"/>
    <col min="13091" max="13091" width="17.5703125" style="191" customWidth="1"/>
    <col min="13092" max="13098" width="15.5703125" style="191" customWidth="1"/>
    <col min="13099" max="13099" width="16.7109375" style="191" customWidth="1"/>
    <col min="13100" max="13104" width="15.5703125" style="191" customWidth="1"/>
    <col min="13105" max="13110" width="11.5703125" style="191" hidden="1" customWidth="1"/>
    <col min="13111" max="13111" width="15.5703125" style="191" customWidth="1"/>
    <col min="13112" max="13112" width="18.7109375" style="191" customWidth="1"/>
    <col min="13113" max="13113" width="3.42578125" style="191" customWidth="1"/>
    <col min="13114" max="13114" width="17.28515625" style="191" customWidth="1"/>
    <col min="13115" max="13115" width="3.42578125" style="191" customWidth="1"/>
    <col min="13116" max="13116" width="16.7109375" style="191" customWidth="1"/>
    <col min="13117" max="13133" width="15.5703125" style="191" customWidth="1"/>
    <col min="13134" max="13314" width="11.42578125" style="191" customWidth="1"/>
    <col min="13315" max="13315" width="38.42578125" style="191" customWidth="1"/>
    <col min="13316" max="13316" width="17.140625" style="191" customWidth="1"/>
    <col min="13317" max="13317" width="19.85546875" style="191" customWidth="1"/>
    <col min="13318" max="13318" width="17.5703125" style="191" customWidth="1"/>
    <col min="13319" max="13319" width="16.42578125" style="191" customWidth="1"/>
    <col min="13320" max="13321" width="15.5703125" style="191" customWidth="1"/>
    <col min="13322" max="13324" width="16.42578125" style="191" customWidth="1"/>
    <col min="13325" max="13334" width="16.85546875" style="191" customWidth="1"/>
    <col min="13335" max="13338" width="16.42578125" style="191" customWidth="1"/>
    <col min="13339" max="13340" width="15.5703125" style="191" customWidth="1"/>
    <col min="13341" max="13343" width="16.42578125" style="191" customWidth="1"/>
    <col min="13344" max="13346" width="16.85546875" style="191" customWidth="1"/>
    <col min="13347" max="13347" width="17.5703125" style="191" customWidth="1"/>
    <col min="13348" max="13354" width="15.5703125" style="191" customWidth="1"/>
    <col min="13355" max="13355" width="16.7109375" style="191" customWidth="1"/>
    <col min="13356" max="13360" width="15.5703125" style="191" customWidth="1"/>
    <col min="13361" max="13366" width="11.5703125" style="191" hidden="1" customWidth="1"/>
    <col min="13367" max="13367" width="15.5703125" style="191" customWidth="1"/>
    <col min="13368" max="13368" width="18.7109375" style="191" customWidth="1"/>
    <col min="13369" max="13369" width="3.42578125" style="191" customWidth="1"/>
    <col min="13370" max="13370" width="17.28515625" style="191" customWidth="1"/>
    <col min="13371" max="13371" width="3.42578125" style="191" customWidth="1"/>
    <col min="13372" max="13372" width="16.7109375" style="191" customWidth="1"/>
    <col min="13373" max="13389" width="15.5703125" style="191" customWidth="1"/>
    <col min="13390" max="13570" width="11.42578125" style="191" customWidth="1"/>
    <col min="13571" max="13571" width="38.42578125" style="191" customWidth="1"/>
    <col min="13572" max="13572" width="17.140625" style="191" customWidth="1"/>
    <col min="13573" max="13573" width="19.85546875" style="191" customWidth="1"/>
    <col min="13574" max="13574" width="17.5703125" style="191" customWidth="1"/>
    <col min="13575" max="13575" width="16.42578125" style="191" customWidth="1"/>
    <col min="13576" max="13577" width="15.5703125" style="191" customWidth="1"/>
    <col min="13578" max="13580" width="16.42578125" style="191" customWidth="1"/>
    <col min="13581" max="13590" width="16.85546875" style="191" customWidth="1"/>
    <col min="13591" max="13594" width="16.42578125" style="191" customWidth="1"/>
    <col min="13595" max="13596" width="15.5703125" style="191" customWidth="1"/>
    <col min="13597" max="13599" width="16.42578125" style="191" customWidth="1"/>
    <col min="13600" max="13602" width="16.85546875" style="191" customWidth="1"/>
    <col min="13603" max="13603" width="17.5703125" style="191" customWidth="1"/>
    <col min="13604" max="13610" width="15.5703125" style="191" customWidth="1"/>
    <col min="13611" max="13611" width="16.7109375" style="191" customWidth="1"/>
    <col min="13612" max="13616" width="15.5703125" style="191" customWidth="1"/>
    <col min="13617" max="13622" width="11.5703125" style="191" hidden="1" customWidth="1"/>
    <col min="13623" max="13623" width="15.5703125" style="191" customWidth="1"/>
    <col min="13624" max="13624" width="18.7109375" style="191" customWidth="1"/>
    <col min="13625" max="13625" width="3.42578125" style="191" customWidth="1"/>
    <col min="13626" max="13626" width="17.28515625" style="191" customWidth="1"/>
    <col min="13627" max="13627" width="3.42578125" style="191" customWidth="1"/>
    <col min="13628" max="13628" width="16.7109375" style="191" customWidth="1"/>
    <col min="13629" max="13645" width="15.5703125" style="191" customWidth="1"/>
    <col min="13646" max="13826" width="11.42578125" style="191" customWidth="1"/>
    <col min="13827" max="13827" width="38.42578125" style="191" customWidth="1"/>
    <col min="13828" max="13828" width="17.140625" style="191" customWidth="1"/>
    <col min="13829" max="13829" width="19.85546875" style="191" customWidth="1"/>
    <col min="13830" max="13830" width="17.5703125" style="191" customWidth="1"/>
    <col min="13831" max="13831" width="16.42578125" style="191" customWidth="1"/>
    <col min="13832" max="13833" width="15.5703125" style="191" customWidth="1"/>
    <col min="13834" max="13836" width="16.42578125" style="191" customWidth="1"/>
    <col min="13837" max="13846" width="16.85546875" style="191" customWidth="1"/>
    <col min="13847" max="13850" width="16.42578125" style="191" customWidth="1"/>
    <col min="13851" max="13852" width="15.5703125" style="191" customWidth="1"/>
    <col min="13853" max="13855" width="16.42578125" style="191" customWidth="1"/>
    <col min="13856" max="13858" width="16.85546875" style="191" customWidth="1"/>
    <col min="13859" max="13859" width="17.5703125" style="191" customWidth="1"/>
    <col min="13860" max="13866" width="15.5703125" style="191" customWidth="1"/>
    <col min="13867" max="13867" width="16.7109375" style="191" customWidth="1"/>
    <col min="13868" max="13872" width="15.5703125" style="191" customWidth="1"/>
    <col min="13873" max="13878" width="11.5703125" style="191" hidden="1" customWidth="1"/>
    <col min="13879" max="13879" width="15.5703125" style="191" customWidth="1"/>
    <col min="13880" max="13880" width="18.7109375" style="191" customWidth="1"/>
    <col min="13881" max="13881" width="3.42578125" style="191" customWidth="1"/>
    <col min="13882" max="13882" width="17.28515625" style="191" customWidth="1"/>
    <col min="13883" max="13883" width="3.42578125" style="191" customWidth="1"/>
    <col min="13884" max="13884" width="16.7109375" style="191" customWidth="1"/>
    <col min="13885" max="13901" width="15.5703125" style="191" customWidth="1"/>
    <col min="13902" max="14082" width="11.42578125" style="191" customWidth="1"/>
    <col min="14083" max="14083" width="38.42578125" style="191" customWidth="1"/>
    <col min="14084" max="14084" width="17.140625" style="191" customWidth="1"/>
    <col min="14085" max="14085" width="19.85546875" style="191" customWidth="1"/>
    <col min="14086" max="14086" width="17.5703125" style="191" customWidth="1"/>
    <col min="14087" max="14087" width="16.42578125" style="191" customWidth="1"/>
    <col min="14088" max="14089" width="15.5703125" style="191" customWidth="1"/>
    <col min="14090" max="14092" width="16.42578125" style="191" customWidth="1"/>
    <col min="14093" max="14102" width="16.85546875" style="191" customWidth="1"/>
    <col min="14103" max="14106" width="16.42578125" style="191" customWidth="1"/>
    <col min="14107" max="14108" width="15.5703125" style="191" customWidth="1"/>
    <col min="14109" max="14111" width="16.42578125" style="191" customWidth="1"/>
    <col min="14112" max="14114" width="16.85546875" style="191" customWidth="1"/>
    <col min="14115" max="14115" width="17.5703125" style="191" customWidth="1"/>
    <col min="14116" max="14122" width="15.5703125" style="191" customWidth="1"/>
    <col min="14123" max="14123" width="16.7109375" style="191" customWidth="1"/>
    <col min="14124" max="14128" width="15.5703125" style="191" customWidth="1"/>
    <col min="14129" max="14134" width="11.5703125" style="191" hidden="1" customWidth="1"/>
    <col min="14135" max="14135" width="15.5703125" style="191" customWidth="1"/>
    <col min="14136" max="14136" width="18.7109375" style="191" customWidth="1"/>
    <col min="14137" max="14137" width="3.42578125" style="191" customWidth="1"/>
    <col min="14138" max="14138" width="17.28515625" style="191" customWidth="1"/>
    <col min="14139" max="14139" width="3.42578125" style="191" customWidth="1"/>
    <col min="14140" max="14140" width="16.7109375" style="191" customWidth="1"/>
    <col min="14141" max="14157" width="15.5703125" style="191" customWidth="1"/>
    <col min="14158" max="14338" width="11.42578125" style="191" customWidth="1"/>
    <col min="14339" max="14339" width="38.42578125" style="191" customWidth="1"/>
    <col min="14340" max="14340" width="17.140625" style="191" customWidth="1"/>
    <col min="14341" max="14341" width="19.85546875" style="191" customWidth="1"/>
    <col min="14342" max="14342" width="17.5703125" style="191" customWidth="1"/>
    <col min="14343" max="14343" width="16.42578125" style="191" customWidth="1"/>
    <col min="14344" max="14345" width="15.5703125" style="191" customWidth="1"/>
    <col min="14346" max="14348" width="16.42578125" style="191" customWidth="1"/>
    <col min="14349" max="14358" width="16.85546875" style="191" customWidth="1"/>
    <col min="14359" max="14362" width="16.42578125" style="191" customWidth="1"/>
    <col min="14363" max="14364" width="15.5703125" style="191" customWidth="1"/>
    <col min="14365" max="14367" width="16.42578125" style="191" customWidth="1"/>
    <col min="14368" max="14370" width="16.85546875" style="191" customWidth="1"/>
    <col min="14371" max="14371" width="17.5703125" style="191" customWidth="1"/>
    <col min="14372" max="14378" width="15.5703125" style="191" customWidth="1"/>
    <col min="14379" max="14379" width="16.7109375" style="191" customWidth="1"/>
    <col min="14380" max="14384" width="15.5703125" style="191" customWidth="1"/>
    <col min="14385" max="14390" width="11.5703125" style="191" hidden="1" customWidth="1"/>
    <col min="14391" max="14391" width="15.5703125" style="191" customWidth="1"/>
    <col min="14392" max="14392" width="18.7109375" style="191" customWidth="1"/>
    <col min="14393" max="14393" width="3.42578125" style="191" customWidth="1"/>
    <col min="14394" max="14394" width="17.28515625" style="191" customWidth="1"/>
    <col min="14395" max="14395" width="3.42578125" style="191" customWidth="1"/>
    <col min="14396" max="14396" width="16.7109375" style="191" customWidth="1"/>
    <col min="14397" max="14413" width="15.5703125" style="191" customWidth="1"/>
    <col min="14414" max="14594" width="11.42578125" style="191" customWidth="1"/>
    <col min="14595" max="14595" width="38.42578125" style="191" customWidth="1"/>
    <col min="14596" max="14596" width="17.140625" style="191" customWidth="1"/>
    <col min="14597" max="14597" width="19.85546875" style="191" customWidth="1"/>
    <col min="14598" max="14598" width="17.5703125" style="191" customWidth="1"/>
    <col min="14599" max="14599" width="16.42578125" style="191" customWidth="1"/>
    <col min="14600" max="14601" width="15.5703125" style="191" customWidth="1"/>
    <col min="14602" max="14604" width="16.42578125" style="191" customWidth="1"/>
    <col min="14605" max="14614" width="16.85546875" style="191" customWidth="1"/>
    <col min="14615" max="14618" width="16.42578125" style="191" customWidth="1"/>
    <col min="14619" max="14620" width="15.5703125" style="191" customWidth="1"/>
    <col min="14621" max="14623" width="16.42578125" style="191" customWidth="1"/>
    <col min="14624" max="14626" width="16.85546875" style="191" customWidth="1"/>
    <col min="14627" max="14627" width="17.5703125" style="191" customWidth="1"/>
    <col min="14628" max="14634" width="15.5703125" style="191" customWidth="1"/>
    <col min="14635" max="14635" width="16.7109375" style="191" customWidth="1"/>
    <col min="14636" max="14640" width="15.5703125" style="191" customWidth="1"/>
    <col min="14641" max="14646" width="11.5703125" style="191" hidden="1" customWidth="1"/>
    <col min="14647" max="14647" width="15.5703125" style="191" customWidth="1"/>
    <col min="14648" max="14648" width="18.7109375" style="191" customWidth="1"/>
    <col min="14649" max="14649" width="3.42578125" style="191" customWidth="1"/>
    <col min="14650" max="14650" width="17.28515625" style="191" customWidth="1"/>
    <col min="14651" max="14651" width="3.42578125" style="191" customWidth="1"/>
    <col min="14652" max="14652" width="16.7109375" style="191" customWidth="1"/>
    <col min="14653" max="14669" width="15.5703125" style="191" customWidth="1"/>
    <col min="14670" max="14850" width="11.42578125" style="191" customWidth="1"/>
    <col min="14851" max="14851" width="38.42578125" style="191" customWidth="1"/>
    <col min="14852" max="14852" width="17.140625" style="191" customWidth="1"/>
    <col min="14853" max="14853" width="19.85546875" style="191" customWidth="1"/>
    <col min="14854" max="14854" width="17.5703125" style="191" customWidth="1"/>
    <col min="14855" max="14855" width="16.42578125" style="191" customWidth="1"/>
    <col min="14856" max="14857" width="15.5703125" style="191" customWidth="1"/>
    <col min="14858" max="14860" width="16.42578125" style="191" customWidth="1"/>
    <col min="14861" max="14870" width="16.85546875" style="191" customWidth="1"/>
    <col min="14871" max="14874" width="16.42578125" style="191" customWidth="1"/>
    <col min="14875" max="14876" width="15.5703125" style="191" customWidth="1"/>
    <col min="14877" max="14879" width="16.42578125" style="191" customWidth="1"/>
    <col min="14880" max="14882" width="16.85546875" style="191" customWidth="1"/>
    <col min="14883" max="14883" width="17.5703125" style="191" customWidth="1"/>
    <col min="14884" max="14890" width="15.5703125" style="191" customWidth="1"/>
    <col min="14891" max="14891" width="16.7109375" style="191" customWidth="1"/>
    <col min="14892" max="14896" width="15.5703125" style="191" customWidth="1"/>
    <col min="14897" max="14902" width="11.5703125" style="191" hidden="1" customWidth="1"/>
    <col min="14903" max="14903" width="15.5703125" style="191" customWidth="1"/>
    <col min="14904" max="14904" width="18.7109375" style="191" customWidth="1"/>
    <col min="14905" max="14905" width="3.42578125" style="191" customWidth="1"/>
    <col min="14906" max="14906" width="17.28515625" style="191" customWidth="1"/>
    <col min="14907" max="14907" width="3.42578125" style="191" customWidth="1"/>
    <col min="14908" max="14908" width="16.7109375" style="191" customWidth="1"/>
    <col min="14909" max="14925" width="15.5703125" style="191" customWidth="1"/>
    <col min="14926" max="15106" width="11.42578125" style="191" customWidth="1"/>
    <col min="15107" max="15107" width="38.42578125" style="191" customWidth="1"/>
    <col min="15108" max="15108" width="17.140625" style="191" customWidth="1"/>
    <col min="15109" max="15109" width="19.85546875" style="191" customWidth="1"/>
    <col min="15110" max="15110" width="17.5703125" style="191" customWidth="1"/>
    <col min="15111" max="15111" width="16.42578125" style="191" customWidth="1"/>
    <col min="15112" max="15113" width="15.5703125" style="191" customWidth="1"/>
    <col min="15114" max="15116" width="16.42578125" style="191" customWidth="1"/>
    <col min="15117" max="15126" width="16.85546875" style="191" customWidth="1"/>
    <col min="15127" max="15130" width="16.42578125" style="191" customWidth="1"/>
    <col min="15131" max="15132" width="15.5703125" style="191" customWidth="1"/>
    <col min="15133" max="15135" width="16.42578125" style="191" customWidth="1"/>
    <col min="15136" max="15138" width="16.85546875" style="191" customWidth="1"/>
    <col min="15139" max="15139" width="17.5703125" style="191" customWidth="1"/>
    <col min="15140" max="15146" width="15.5703125" style="191" customWidth="1"/>
    <col min="15147" max="15147" width="16.7109375" style="191" customWidth="1"/>
    <col min="15148" max="15152" width="15.5703125" style="191" customWidth="1"/>
    <col min="15153" max="15158" width="11.5703125" style="191" hidden="1" customWidth="1"/>
    <col min="15159" max="15159" width="15.5703125" style="191" customWidth="1"/>
    <col min="15160" max="15160" width="18.7109375" style="191" customWidth="1"/>
    <col min="15161" max="15161" width="3.42578125" style="191" customWidth="1"/>
    <col min="15162" max="15162" width="17.28515625" style="191" customWidth="1"/>
    <col min="15163" max="15163" width="3.42578125" style="191" customWidth="1"/>
    <col min="15164" max="15164" width="16.7109375" style="191" customWidth="1"/>
    <col min="15165" max="15181" width="15.5703125" style="191" customWidth="1"/>
    <col min="15182" max="15362" width="11.42578125" style="191" customWidth="1"/>
    <col min="15363" max="15363" width="38.42578125" style="191" customWidth="1"/>
    <col min="15364" max="15364" width="17.140625" style="191" customWidth="1"/>
    <col min="15365" max="15365" width="19.85546875" style="191" customWidth="1"/>
    <col min="15366" max="15366" width="17.5703125" style="191" customWidth="1"/>
    <col min="15367" max="15367" width="16.42578125" style="191" customWidth="1"/>
    <col min="15368" max="15369" width="15.5703125" style="191" customWidth="1"/>
    <col min="15370" max="15372" width="16.42578125" style="191" customWidth="1"/>
    <col min="15373" max="15382" width="16.85546875" style="191" customWidth="1"/>
    <col min="15383" max="15386" width="16.42578125" style="191" customWidth="1"/>
    <col min="15387" max="15388" width="15.5703125" style="191" customWidth="1"/>
    <col min="15389" max="15391" width="16.42578125" style="191" customWidth="1"/>
    <col min="15392" max="15394" width="16.85546875" style="191" customWidth="1"/>
    <col min="15395" max="15395" width="17.5703125" style="191" customWidth="1"/>
    <col min="15396" max="15402" width="15.5703125" style="191" customWidth="1"/>
    <col min="15403" max="15403" width="16.7109375" style="191" customWidth="1"/>
    <col min="15404" max="15408" width="15.5703125" style="191" customWidth="1"/>
    <col min="15409" max="15414" width="11.5703125" style="191" hidden="1" customWidth="1"/>
    <col min="15415" max="15415" width="15.5703125" style="191" customWidth="1"/>
    <col min="15416" max="15416" width="18.7109375" style="191" customWidth="1"/>
    <col min="15417" max="15417" width="3.42578125" style="191" customWidth="1"/>
    <col min="15418" max="15418" width="17.28515625" style="191" customWidth="1"/>
    <col min="15419" max="15419" width="3.42578125" style="191" customWidth="1"/>
    <col min="15420" max="15420" width="16.7109375" style="191" customWidth="1"/>
    <col min="15421" max="15437" width="15.5703125" style="191" customWidth="1"/>
    <col min="15438" max="15618" width="11.42578125" style="191" customWidth="1"/>
    <col min="15619" max="15619" width="38.42578125" style="191" customWidth="1"/>
    <col min="15620" max="15620" width="17.140625" style="191" customWidth="1"/>
    <col min="15621" max="15621" width="19.85546875" style="191" customWidth="1"/>
    <col min="15622" max="15622" width="17.5703125" style="191" customWidth="1"/>
    <col min="15623" max="15623" width="16.42578125" style="191" customWidth="1"/>
    <col min="15624" max="15625" width="15.5703125" style="191" customWidth="1"/>
    <col min="15626" max="15628" width="16.42578125" style="191" customWidth="1"/>
    <col min="15629" max="15638" width="16.85546875" style="191" customWidth="1"/>
    <col min="15639" max="15642" width="16.42578125" style="191" customWidth="1"/>
    <col min="15643" max="15644" width="15.5703125" style="191" customWidth="1"/>
    <col min="15645" max="15647" width="16.42578125" style="191" customWidth="1"/>
    <col min="15648" max="15650" width="16.85546875" style="191" customWidth="1"/>
    <col min="15651" max="15651" width="17.5703125" style="191" customWidth="1"/>
    <col min="15652" max="15658" width="15.5703125" style="191" customWidth="1"/>
    <col min="15659" max="15659" width="16.7109375" style="191" customWidth="1"/>
    <col min="15660" max="15664" width="15.5703125" style="191" customWidth="1"/>
    <col min="15665" max="15670" width="11.5703125" style="191" hidden="1" customWidth="1"/>
    <col min="15671" max="15671" width="15.5703125" style="191" customWidth="1"/>
    <col min="15672" max="15672" width="18.7109375" style="191" customWidth="1"/>
    <col min="15673" max="15673" width="3.42578125" style="191" customWidth="1"/>
    <col min="15674" max="15674" width="17.28515625" style="191" customWidth="1"/>
    <col min="15675" max="15675" width="3.42578125" style="191" customWidth="1"/>
    <col min="15676" max="15676" width="16.7109375" style="191" customWidth="1"/>
    <col min="15677" max="15693" width="15.5703125" style="191" customWidth="1"/>
    <col min="15694" max="15874" width="11.42578125" style="191" customWidth="1"/>
    <col min="15875" max="15875" width="38.42578125" style="191" customWidth="1"/>
    <col min="15876" max="15876" width="17.140625" style="191" customWidth="1"/>
    <col min="15877" max="15877" width="19.85546875" style="191" customWidth="1"/>
    <col min="15878" max="15878" width="17.5703125" style="191" customWidth="1"/>
    <col min="15879" max="15879" width="16.42578125" style="191" customWidth="1"/>
    <col min="15880" max="15881" width="15.5703125" style="191" customWidth="1"/>
    <col min="15882" max="15884" width="16.42578125" style="191" customWidth="1"/>
    <col min="15885" max="15894" width="16.85546875" style="191" customWidth="1"/>
    <col min="15895" max="15898" width="16.42578125" style="191" customWidth="1"/>
    <col min="15899" max="15900" width="15.5703125" style="191" customWidth="1"/>
    <col min="15901" max="15903" width="16.42578125" style="191" customWidth="1"/>
    <col min="15904" max="15906" width="16.85546875" style="191" customWidth="1"/>
    <col min="15907" max="15907" width="17.5703125" style="191" customWidth="1"/>
    <col min="15908" max="15914" width="15.5703125" style="191" customWidth="1"/>
    <col min="15915" max="15915" width="16.7109375" style="191" customWidth="1"/>
    <col min="15916" max="15920" width="15.5703125" style="191" customWidth="1"/>
    <col min="15921" max="15926" width="11.5703125" style="191" hidden="1" customWidth="1"/>
    <col min="15927" max="15927" width="15.5703125" style="191" customWidth="1"/>
    <col min="15928" max="15928" width="18.7109375" style="191" customWidth="1"/>
    <col min="15929" max="15929" width="3.42578125" style="191" customWidth="1"/>
    <col min="15930" max="15930" width="17.28515625" style="191" customWidth="1"/>
    <col min="15931" max="15931" width="3.42578125" style="191" customWidth="1"/>
    <col min="15932" max="15932" width="16.7109375" style="191" customWidth="1"/>
    <col min="15933" max="15949" width="15.5703125" style="191" customWidth="1"/>
    <col min="15950" max="16130" width="11.42578125" style="191" customWidth="1"/>
    <col min="16131" max="16131" width="38.42578125" style="191" customWidth="1"/>
    <col min="16132" max="16132" width="17.140625" style="191" customWidth="1"/>
    <col min="16133" max="16133" width="19.85546875" style="191" customWidth="1"/>
    <col min="16134" max="16134" width="17.5703125" style="191" customWidth="1"/>
    <col min="16135" max="16135" width="16.42578125" style="191" customWidth="1"/>
    <col min="16136" max="16137" width="15.5703125" style="191" customWidth="1"/>
    <col min="16138" max="16140" width="16.42578125" style="191" customWidth="1"/>
    <col min="16141" max="16150" width="16.85546875" style="191" customWidth="1"/>
    <col min="16151" max="16154" width="16.42578125" style="191" customWidth="1"/>
    <col min="16155" max="16156" width="15.5703125" style="191" customWidth="1"/>
    <col min="16157" max="16159" width="16.42578125" style="191" customWidth="1"/>
    <col min="16160" max="16162" width="16.85546875" style="191" customWidth="1"/>
    <col min="16163" max="16163" width="17.5703125" style="191" customWidth="1"/>
    <col min="16164" max="16170" width="15.5703125" style="191" customWidth="1"/>
    <col min="16171" max="16171" width="16.7109375" style="191" customWidth="1"/>
    <col min="16172" max="16176" width="15.5703125" style="191" customWidth="1"/>
    <col min="16177" max="16182" width="11.5703125" style="191" hidden="1" customWidth="1"/>
    <col min="16183" max="16183" width="15.5703125" style="191" customWidth="1"/>
    <col min="16184" max="16184" width="18.7109375" style="191" customWidth="1"/>
    <col min="16185" max="16185" width="3.42578125" style="191" customWidth="1"/>
    <col min="16186" max="16186" width="17.28515625" style="191" customWidth="1"/>
    <col min="16187" max="16187" width="3.42578125" style="191" customWidth="1"/>
    <col min="16188" max="16188" width="16.7109375" style="191" customWidth="1"/>
    <col min="16189" max="16205" width="15.5703125" style="191" customWidth="1"/>
    <col min="16206" max="16384" width="11.42578125" style="191" customWidth="1"/>
  </cols>
  <sheetData>
    <row r="1" spans="1:60" ht="15.75" customHeight="1">
      <c r="A1" s="193" t="str">
        <f>RESULTADOS!B2</f>
        <v>Proyecto de Vivienda de Interes Social URIN CHILLO LOTE "A"</v>
      </c>
      <c r="B1" s="194"/>
      <c r="C1" s="195"/>
      <c r="D1" s="196"/>
      <c r="E1" s="197"/>
      <c r="F1" s="197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</row>
    <row r="2" spans="1:60" ht="15" customHeight="1">
      <c r="A2" s="198" t="s">
        <v>488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</row>
    <row r="3" spans="1:60" ht="15" customHeight="1">
      <c r="A3" s="198" t="e">
        <f>+#REF!</f>
        <v>#REF!</v>
      </c>
      <c r="B3" s="198"/>
    </row>
    <row r="4" spans="1:60" ht="15" customHeight="1">
      <c r="A4" s="198" t="s">
        <v>187</v>
      </c>
      <c r="B4" s="198"/>
      <c r="C4" s="200"/>
      <c r="D4" s="200"/>
      <c r="E4" s="200"/>
      <c r="F4" s="200"/>
    </row>
    <row r="6" spans="1:60" ht="15" customHeight="1">
      <c r="A6" s="551" t="s">
        <v>489</v>
      </c>
      <c r="B6" s="487"/>
      <c r="C6" s="192"/>
      <c r="D6" s="192"/>
      <c r="E6" s="192"/>
      <c r="F6" s="192"/>
      <c r="BE6" s="399"/>
    </row>
    <row r="7" spans="1:60" ht="15" customHeight="1">
      <c r="A7" s="201" t="s">
        <v>490</v>
      </c>
      <c r="B7" s="400">
        <f>+C30</f>
        <v>7081052.5520000057</v>
      </c>
      <c r="C7" s="192"/>
      <c r="D7" s="192"/>
      <c r="E7" s="192"/>
      <c r="F7" s="192"/>
      <c r="G7" s="401"/>
      <c r="H7" s="401"/>
      <c r="I7" s="401"/>
      <c r="J7" s="401"/>
      <c r="K7" s="401"/>
    </row>
    <row r="8" spans="1:60" ht="18.75" customHeight="1">
      <c r="A8" s="202" t="s">
        <v>491</v>
      </c>
      <c r="B8" s="402">
        <f>+C33</f>
        <v>-5422937.6215764889</v>
      </c>
      <c r="C8" s="203"/>
      <c r="D8" s="203"/>
      <c r="E8" s="203"/>
      <c r="F8" s="203"/>
      <c r="J8" s="204"/>
      <c r="K8" s="205"/>
      <c r="BE8" s="203"/>
    </row>
    <row r="9" spans="1:60" ht="15" customHeight="1">
      <c r="A9" s="206" t="s">
        <v>492</v>
      </c>
      <c r="B9" s="403">
        <f>SUM(B7:B8)</f>
        <v>1658114.9304235168</v>
      </c>
      <c r="C9" s="399"/>
      <c r="D9" s="207"/>
      <c r="E9" s="404"/>
      <c r="F9" s="404"/>
    </row>
    <row r="10" spans="1:60" ht="15" customHeight="1">
      <c r="A10" s="192"/>
      <c r="B10" s="192"/>
      <c r="C10" s="405"/>
      <c r="D10" s="192"/>
      <c r="E10" s="192"/>
      <c r="F10" s="192"/>
      <c r="BE10" s="399"/>
    </row>
    <row r="11" spans="1:60" ht="15" customHeight="1">
      <c r="A11" s="246" t="s">
        <v>493</v>
      </c>
      <c r="B11" s="208">
        <v>0</v>
      </c>
      <c r="C11" s="209"/>
      <c r="Q11" s="210"/>
    </row>
    <row r="12" spans="1:60" ht="17.25" customHeight="1">
      <c r="G12" s="210"/>
      <c r="H12" s="210"/>
      <c r="I12" s="210"/>
      <c r="J12" s="210"/>
      <c r="K12" s="210"/>
      <c r="L12" s="210"/>
      <c r="M12" s="210"/>
      <c r="N12" s="406"/>
      <c r="O12" s="407"/>
      <c r="P12" s="211"/>
      <c r="Q12" s="211"/>
      <c r="R12" s="211"/>
      <c r="S12" s="211"/>
      <c r="T12" s="211"/>
    </row>
    <row r="13" spans="1:60" ht="15" customHeight="1">
      <c r="A13" s="552" t="s">
        <v>494</v>
      </c>
      <c r="B13" s="486"/>
      <c r="C13" s="486"/>
      <c r="D13" s="486"/>
      <c r="E13" s="212" t="s">
        <v>495</v>
      </c>
      <c r="F13" s="206">
        <v>0</v>
      </c>
      <c r="G13" s="206">
        <v>1</v>
      </c>
      <c r="H13" s="206">
        <v>2</v>
      </c>
      <c r="I13" s="206">
        <f t="shared" ref="I13:BB13" si="0">+H13+1</f>
        <v>3</v>
      </c>
      <c r="J13" s="206">
        <f t="shared" si="0"/>
        <v>4</v>
      </c>
      <c r="K13" s="206">
        <f t="shared" si="0"/>
        <v>5</v>
      </c>
      <c r="L13" s="206">
        <f t="shared" si="0"/>
        <v>6</v>
      </c>
      <c r="M13" s="206">
        <f t="shared" si="0"/>
        <v>7</v>
      </c>
      <c r="N13" s="206">
        <f t="shared" si="0"/>
        <v>8</v>
      </c>
      <c r="O13" s="206">
        <f t="shared" si="0"/>
        <v>9</v>
      </c>
      <c r="P13" s="206">
        <f t="shared" si="0"/>
        <v>10</v>
      </c>
      <c r="Q13" s="206">
        <f t="shared" si="0"/>
        <v>11</v>
      </c>
      <c r="R13" s="206">
        <f t="shared" si="0"/>
        <v>12</v>
      </c>
      <c r="S13" s="206">
        <f t="shared" si="0"/>
        <v>13</v>
      </c>
      <c r="T13" s="206">
        <f t="shared" si="0"/>
        <v>14</v>
      </c>
      <c r="U13" s="206">
        <f t="shared" si="0"/>
        <v>15</v>
      </c>
      <c r="V13" s="206">
        <f t="shared" si="0"/>
        <v>16</v>
      </c>
      <c r="W13" s="206">
        <f t="shared" si="0"/>
        <v>17</v>
      </c>
      <c r="X13" s="206">
        <f t="shared" si="0"/>
        <v>18</v>
      </c>
      <c r="Y13" s="206">
        <f t="shared" si="0"/>
        <v>19</v>
      </c>
      <c r="Z13" s="206">
        <f t="shared" si="0"/>
        <v>20</v>
      </c>
      <c r="AA13" s="206">
        <f t="shared" si="0"/>
        <v>21</v>
      </c>
      <c r="AB13" s="206">
        <f t="shared" si="0"/>
        <v>22</v>
      </c>
      <c r="AC13" s="206">
        <f t="shared" si="0"/>
        <v>23</v>
      </c>
      <c r="AD13" s="206">
        <f t="shared" si="0"/>
        <v>24</v>
      </c>
      <c r="AE13" s="206">
        <f t="shared" si="0"/>
        <v>25</v>
      </c>
      <c r="AF13" s="206">
        <f t="shared" si="0"/>
        <v>26</v>
      </c>
      <c r="AG13" s="206">
        <f t="shared" si="0"/>
        <v>27</v>
      </c>
      <c r="AH13" s="206">
        <f t="shared" si="0"/>
        <v>28</v>
      </c>
      <c r="AI13" s="206">
        <f t="shared" si="0"/>
        <v>29</v>
      </c>
      <c r="AJ13" s="206">
        <f t="shared" si="0"/>
        <v>30</v>
      </c>
      <c r="AK13" s="206">
        <f t="shared" si="0"/>
        <v>31</v>
      </c>
      <c r="AL13" s="206">
        <f t="shared" si="0"/>
        <v>32</v>
      </c>
      <c r="AM13" s="206">
        <f t="shared" si="0"/>
        <v>33</v>
      </c>
      <c r="AN13" s="206">
        <f t="shared" si="0"/>
        <v>34</v>
      </c>
      <c r="AO13" s="206">
        <f t="shared" si="0"/>
        <v>35</v>
      </c>
      <c r="AP13" s="206">
        <f t="shared" si="0"/>
        <v>36</v>
      </c>
      <c r="AQ13" s="206">
        <f t="shared" si="0"/>
        <v>37</v>
      </c>
      <c r="AR13" s="206">
        <f t="shared" si="0"/>
        <v>38</v>
      </c>
      <c r="AS13" s="206">
        <f t="shared" si="0"/>
        <v>39</v>
      </c>
      <c r="AT13" s="206">
        <f t="shared" si="0"/>
        <v>40</v>
      </c>
      <c r="AU13" s="206">
        <f t="shared" si="0"/>
        <v>41</v>
      </c>
      <c r="AV13" s="206">
        <f t="shared" si="0"/>
        <v>42</v>
      </c>
      <c r="AW13" s="206">
        <f t="shared" si="0"/>
        <v>43</v>
      </c>
      <c r="AX13" s="206">
        <f t="shared" si="0"/>
        <v>44</v>
      </c>
      <c r="AY13" s="206">
        <f t="shared" si="0"/>
        <v>45</v>
      </c>
      <c r="AZ13" s="206">
        <f t="shared" si="0"/>
        <v>46</v>
      </c>
      <c r="BA13" s="206">
        <f t="shared" si="0"/>
        <v>47</v>
      </c>
      <c r="BB13" s="206">
        <f t="shared" si="0"/>
        <v>48</v>
      </c>
      <c r="BC13" s="206">
        <v>49</v>
      </c>
      <c r="BD13" s="206">
        <v>50</v>
      </c>
      <c r="BE13" s="191"/>
    </row>
    <row r="14" spans="1:60" ht="15" customHeight="1">
      <c r="F14" s="191"/>
    </row>
    <row r="15" spans="1:60" s="216" customFormat="1" ht="15" customHeight="1">
      <c r="A15" s="213" t="s">
        <v>189</v>
      </c>
      <c r="B15" s="408" t="s">
        <v>496</v>
      </c>
      <c r="C15" s="409" t="s">
        <v>497</v>
      </c>
      <c r="D15" s="410" t="s">
        <v>498</v>
      </c>
      <c r="E15" s="411" t="s">
        <v>499</v>
      </c>
      <c r="F15" s="214">
        <v>46357</v>
      </c>
      <c r="G15" s="214">
        <v>46388</v>
      </c>
      <c r="H15" s="214">
        <v>46419</v>
      </c>
      <c r="I15" s="214">
        <v>46447</v>
      </c>
      <c r="J15" s="214">
        <v>46478</v>
      </c>
      <c r="K15" s="214">
        <v>46508</v>
      </c>
      <c r="L15" s="214">
        <v>46539</v>
      </c>
      <c r="M15" s="214">
        <v>46569</v>
      </c>
      <c r="N15" s="214">
        <v>46600</v>
      </c>
      <c r="O15" s="214">
        <v>46631</v>
      </c>
      <c r="P15" s="214">
        <v>46661</v>
      </c>
      <c r="Q15" s="214">
        <v>46692</v>
      </c>
      <c r="R15" s="214">
        <v>46722</v>
      </c>
      <c r="S15" s="214">
        <v>46753</v>
      </c>
      <c r="T15" s="214">
        <v>46784</v>
      </c>
      <c r="U15" s="214">
        <v>46813</v>
      </c>
      <c r="V15" s="214">
        <v>46844</v>
      </c>
      <c r="W15" s="214">
        <v>46874</v>
      </c>
      <c r="X15" s="214">
        <v>46905</v>
      </c>
      <c r="Y15" s="214">
        <v>46935</v>
      </c>
      <c r="Z15" s="214">
        <v>46966</v>
      </c>
      <c r="AA15" s="214">
        <f t="shared" ref="AA15:BB15" si="1">+Z15+31</f>
        <v>46997</v>
      </c>
      <c r="AB15" s="214">
        <f t="shared" si="1"/>
        <v>47028</v>
      </c>
      <c r="AC15" s="214">
        <f t="shared" si="1"/>
        <v>47059</v>
      </c>
      <c r="AD15" s="214">
        <f t="shared" si="1"/>
        <v>47090</v>
      </c>
      <c r="AE15" s="214">
        <f t="shared" si="1"/>
        <v>47121</v>
      </c>
      <c r="AF15" s="214">
        <f t="shared" si="1"/>
        <v>47152</v>
      </c>
      <c r="AG15" s="214">
        <f t="shared" si="1"/>
        <v>47183</v>
      </c>
      <c r="AH15" s="214">
        <f t="shared" si="1"/>
        <v>47214</v>
      </c>
      <c r="AI15" s="214">
        <f t="shared" si="1"/>
        <v>47245</v>
      </c>
      <c r="AJ15" s="214">
        <f t="shared" si="1"/>
        <v>47276</v>
      </c>
      <c r="AK15" s="214">
        <f t="shared" si="1"/>
        <v>47307</v>
      </c>
      <c r="AL15" s="214">
        <f t="shared" si="1"/>
        <v>47338</v>
      </c>
      <c r="AM15" s="214">
        <f t="shared" si="1"/>
        <v>47369</v>
      </c>
      <c r="AN15" s="214">
        <f t="shared" si="1"/>
        <v>47400</v>
      </c>
      <c r="AO15" s="214">
        <f t="shared" si="1"/>
        <v>47431</v>
      </c>
      <c r="AP15" s="214">
        <f t="shared" si="1"/>
        <v>47462</v>
      </c>
      <c r="AQ15" s="214">
        <f t="shared" si="1"/>
        <v>47493</v>
      </c>
      <c r="AR15" s="214">
        <f t="shared" si="1"/>
        <v>47524</v>
      </c>
      <c r="AS15" s="214">
        <f t="shared" si="1"/>
        <v>47555</v>
      </c>
      <c r="AT15" s="214">
        <f t="shared" si="1"/>
        <v>47586</v>
      </c>
      <c r="AU15" s="214">
        <f t="shared" si="1"/>
        <v>47617</v>
      </c>
      <c r="AV15" s="214">
        <f t="shared" si="1"/>
        <v>47648</v>
      </c>
      <c r="AW15" s="214">
        <f t="shared" si="1"/>
        <v>47679</v>
      </c>
      <c r="AX15" s="214">
        <f t="shared" si="1"/>
        <v>47710</v>
      </c>
      <c r="AY15" s="214">
        <f t="shared" si="1"/>
        <v>47741</v>
      </c>
      <c r="AZ15" s="214">
        <f t="shared" si="1"/>
        <v>47772</v>
      </c>
      <c r="BA15" s="214">
        <f t="shared" si="1"/>
        <v>47803</v>
      </c>
      <c r="BB15" s="214">
        <f t="shared" si="1"/>
        <v>47834</v>
      </c>
      <c r="BC15" s="214"/>
      <c r="BD15" s="214"/>
      <c r="BE15" s="215" t="s">
        <v>29</v>
      </c>
      <c r="BG15" s="409" t="s">
        <v>497</v>
      </c>
      <c r="BH15" s="191"/>
    </row>
    <row r="16" spans="1:60" ht="15" customHeight="1"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  <c r="U16" s="217"/>
      <c r="V16" s="217"/>
      <c r="W16" s="217"/>
      <c r="X16" s="217"/>
      <c r="Y16" s="217"/>
      <c r="Z16" s="217"/>
      <c r="AA16" s="217"/>
      <c r="AB16" s="217"/>
      <c r="AC16" s="218"/>
      <c r="AD16" s="218"/>
      <c r="AE16" s="218"/>
      <c r="AF16" s="218"/>
      <c r="AG16" s="218"/>
      <c r="AH16" s="218"/>
      <c r="AI16" s="218"/>
      <c r="AJ16" s="218"/>
      <c r="AK16" s="218"/>
      <c r="AL16" s="218"/>
      <c r="AM16" s="218"/>
      <c r="AN16" s="218"/>
      <c r="AO16" s="218"/>
      <c r="AP16" s="218"/>
      <c r="AQ16" s="218"/>
      <c r="AR16" s="218"/>
      <c r="AS16" s="218"/>
      <c r="AT16" s="218"/>
      <c r="AU16" s="218"/>
      <c r="AV16" s="218"/>
      <c r="AW16" s="218"/>
      <c r="AX16" s="218"/>
      <c r="AY16" s="218"/>
      <c r="AZ16" s="218"/>
      <c r="BA16" s="218"/>
      <c r="BB16" s="218"/>
      <c r="BC16" s="218"/>
      <c r="BD16" s="218"/>
      <c r="BE16" s="219"/>
    </row>
    <row r="17" spans="1:60" ht="15" customHeight="1">
      <c r="A17" s="399"/>
      <c r="B17" s="399"/>
      <c r="C17" s="399"/>
      <c r="D17" s="399"/>
      <c r="E17" s="399"/>
      <c r="F17" s="399"/>
      <c r="G17" s="412"/>
      <c r="H17" s="412"/>
      <c r="I17" s="412"/>
      <c r="J17" s="412"/>
      <c r="K17" s="412"/>
      <c r="L17" s="412"/>
      <c r="M17" s="412"/>
      <c r="N17" s="412"/>
      <c r="O17" s="412"/>
      <c r="P17" s="412"/>
      <c r="Q17" s="412"/>
      <c r="R17" s="412"/>
      <c r="S17" s="412"/>
      <c r="T17" s="412"/>
      <c r="U17" s="412"/>
      <c r="V17" s="412"/>
      <c r="W17" s="412"/>
      <c r="X17" s="412"/>
      <c r="Y17" s="412"/>
      <c r="Z17" s="412"/>
      <c r="AA17" s="412"/>
      <c r="AB17" s="412"/>
      <c r="AC17" s="412"/>
      <c r="AD17" s="412"/>
      <c r="AE17" s="412"/>
      <c r="AF17" s="412"/>
      <c r="AG17" s="412"/>
      <c r="AH17" s="412"/>
      <c r="AI17" s="412"/>
      <c r="AJ17" s="412"/>
      <c r="AK17" s="412"/>
      <c r="AL17" s="412"/>
      <c r="AM17" s="412"/>
      <c r="AN17" s="412"/>
      <c r="AO17" s="412"/>
      <c r="AP17" s="412"/>
      <c r="AQ17" s="412"/>
      <c r="AR17" s="412"/>
      <c r="AS17" s="412"/>
      <c r="AT17" s="412"/>
      <c r="AU17" s="412"/>
      <c r="AV17" s="412"/>
      <c r="AW17" s="412"/>
      <c r="AX17" s="412"/>
      <c r="AY17" s="412"/>
      <c r="AZ17" s="412"/>
      <c r="BA17" s="412"/>
      <c r="BB17" s="412"/>
      <c r="BC17" s="412"/>
      <c r="BD17" s="412"/>
      <c r="BE17" s="399"/>
      <c r="BF17" s="398"/>
      <c r="BG17" s="398"/>
      <c r="BH17" s="398"/>
    </row>
    <row r="18" spans="1:60" ht="15" customHeight="1">
      <c r="A18" s="413" t="s">
        <v>495</v>
      </c>
      <c r="B18" s="414">
        <f>SUM(B25:B26)</f>
        <v>0</v>
      </c>
      <c r="C18" s="415">
        <f>+C20+C24</f>
        <v>1825701.7915000001</v>
      </c>
      <c r="D18" s="416">
        <f>SUM(D21:D26)</f>
        <v>1249442.5315</v>
      </c>
      <c r="E18" s="417">
        <f>SUM(E21:E26)</f>
        <v>576259.26</v>
      </c>
      <c r="F18" s="412"/>
      <c r="G18" s="412"/>
      <c r="H18" s="412"/>
      <c r="I18" s="412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/>
      <c r="W18" s="412"/>
      <c r="X18" s="412"/>
      <c r="Y18" s="412"/>
      <c r="Z18" s="412"/>
      <c r="AA18" s="412"/>
      <c r="AB18" s="412"/>
      <c r="AC18" s="412"/>
      <c r="AD18" s="412"/>
      <c r="AE18" s="412"/>
      <c r="AF18" s="412"/>
      <c r="AG18" s="412"/>
      <c r="AH18" s="412"/>
      <c r="AI18" s="412"/>
      <c r="AJ18" s="412"/>
      <c r="AK18" s="412"/>
      <c r="AL18" s="412"/>
      <c r="AM18" s="412"/>
      <c r="AN18" s="412"/>
      <c r="AO18" s="412"/>
      <c r="AP18" s="412"/>
      <c r="AQ18" s="412"/>
      <c r="AR18" s="412"/>
      <c r="AS18" s="412"/>
      <c r="AT18" s="412"/>
      <c r="AU18" s="412"/>
      <c r="AV18" s="412"/>
      <c r="AW18" s="412"/>
      <c r="AX18" s="412"/>
      <c r="AY18" s="412"/>
      <c r="AZ18" s="412"/>
      <c r="BA18" s="412"/>
      <c r="BB18" s="412"/>
      <c r="BC18" s="412"/>
      <c r="BD18" s="412"/>
      <c r="BE18" s="399"/>
      <c r="BF18" s="398"/>
      <c r="BG18" s="398"/>
      <c r="BH18" s="398"/>
    </row>
    <row r="19" spans="1:60" ht="2.25" customHeight="1">
      <c r="A19" s="413"/>
      <c r="B19" s="414"/>
      <c r="C19" s="415"/>
      <c r="D19" s="416"/>
      <c r="E19" s="418"/>
      <c r="F19" s="412"/>
      <c r="G19" s="412"/>
      <c r="H19" s="412"/>
      <c r="I19" s="412"/>
      <c r="J19" s="412"/>
      <c r="K19" s="412"/>
      <c r="L19" s="412"/>
      <c r="M19" s="412"/>
      <c r="N19" s="412"/>
      <c r="O19" s="412"/>
      <c r="P19" s="412"/>
      <c r="Q19" s="412"/>
      <c r="R19" s="412"/>
      <c r="S19" s="412"/>
      <c r="T19" s="412"/>
      <c r="U19" s="412"/>
      <c r="V19" s="412"/>
      <c r="W19" s="412"/>
      <c r="X19" s="412"/>
      <c r="Y19" s="412"/>
      <c r="Z19" s="412"/>
      <c r="AA19" s="412"/>
      <c r="AB19" s="412"/>
      <c r="AC19" s="412"/>
      <c r="AD19" s="412"/>
      <c r="AE19" s="412"/>
      <c r="AF19" s="412"/>
      <c r="AG19" s="412"/>
      <c r="AH19" s="412"/>
      <c r="AI19" s="412"/>
      <c r="AJ19" s="412"/>
      <c r="AK19" s="412"/>
      <c r="AL19" s="412"/>
      <c r="AM19" s="412"/>
      <c r="AN19" s="412"/>
      <c r="AO19" s="412"/>
      <c r="AP19" s="412"/>
      <c r="AQ19" s="412"/>
      <c r="AR19" s="412"/>
      <c r="AS19" s="412"/>
      <c r="AT19" s="412"/>
      <c r="AU19" s="412"/>
      <c r="AV19" s="412"/>
      <c r="AW19" s="412"/>
      <c r="AX19" s="412"/>
      <c r="AY19" s="412"/>
      <c r="AZ19" s="412"/>
      <c r="BA19" s="412"/>
      <c r="BB19" s="412"/>
      <c r="BC19" s="412"/>
      <c r="BD19" s="412"/>
      <c r="BE19" s="399"/>
      <c r="BF19" s="398"/>
      <c r="BG19" s="398"/>
      <c r="BH19" s="398"/>
    </row>
    <row r="20" spans="1:60" ht="15" customHeight="1">
      <c r="A20" s="413" t="s">
        <v>500</v>
      </c>
      <c r="B20" s="414"/>
      <c r="C20" s="415">
        <f>+C21+C22</f>
        <v>576259.26</v>
      </c>
      <c r="D20" s="416"/>
      <c r="E20" s="418"/>
      <c r="F20" s="412"/>
      <c r="G20" s="412"/>
      <c r="H20" s="412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2"/>
      <c r="T20" s="412"/>
      <c r="U20" s="412"/>
      <c r="V20" s="412"/>
      <c r="W20" s="412"/>
      <c r="X20" s="412"/>
      <c r="Y20" s="412"/>
      <c r="Z20" s="412"/>
      <c r="AA20" s="412"/>
      <c r="AB20" s="412"/>
      <c r="AC20" s="412"/>
      <c r="AD20" s="412"/>
      <c r="AE20" s="412"/>
      <c r="AF20" s="412"/>
      <c r="AG20" s="412"/>
      <c r="AH20" s="412"/>
      <c r="AI20" s="412"/>
      <c r="AJ20" s="412"/>
      <c r="AK20" s="412"/>
      <c r="AL20" s="412"/>
      <c r="AM20" s="412"/>
      <c r="AN20" s="412"/>
      <c r="AO20" s="412"/>
      <c r="AP20" s="412"/>
      <c r="AQ20" s="412"/>
      <c r="AR20" s="412"/>
      <c r="AS20" s="412"/>
      <c r="AT20" s="412"/>
      <c r="AU20" s="412"/>
      <c r="AV20" s="412"/>
      <c r="AW20" s="412"/>
      <c r="AX20" s="412"/>
      <c r="AY20" s="412"/>
      <c r="AZ20" s="412"/>
      <c r="BA20" s="412"/>
      <c r="BB20" s="412"/>
      <c r="BC20" s="412"/>
      <c r="BD20" s="412"/>
      <c r="BE20" s="399"/>
      <c r="BF20" s="398"/>
      <c r="BG20" s="398"/>
      <c r="BH20" s="398"/>
    </row>
    <row r="21" spans="1:60" ht="15" customHeight="1">
      <c r="A21" s="419" t="s">
        <v>20</v>
      </c>
      <c r="B21" s="420">
        <v>0</v>
      </c>
      <c r="C21" s="421">
        <f>RESULTADOS!B18</f>
        <v>458348.41</v>
      </c>
      <c r="D21" s="422">
        <f>+C21-E21</f>
        <v>0</v>
      </c>
      <c r="E21" s="423">
        <v>458348.41</v>
      </c>
      <c r="F21" s="412"/>
      <c r="G21" s="412"/>
      <c r="H21" s="412"/>
      <c r="I21" s="412"/>
      <c r="J21" s="412"/>
      <c r="K21" s="412"/>
      <c r="L21" s="412"/>
      <c r="M21" s="412"/>
      <c r="N21" s="412"/>
      <c r="O21" s="412"/>
      <c r="P21" s="412"/>
      <c r="Q21" s="412"/>
      <c r="R21" s="412"/>
      <c r="S21" s="412"/>
      <c r="T21" s="412"/>
      <c r="U21" s="412"/>
      <c r="V21" s="412"/>
      <c r="W21" s="412"/>
      <c r="X21" s="412"/>
      <c r="Y21" s="412"/>
      <c r="Z21" s="412"/>
      <c r="AA21" s="412"/>
      <c r="AB21" s="412"/>
      <c r="AC21" s="412"/>
      <c r="AD21" s="412"/>
      <c r="AE21" s="412"/>
      <c r="AF21" s="412"/>
      <c r="AG21" s="412"/>
      <c r="AH21" s="412"/>
      <c r="AI21" s="412"/>
      <c r="AJ21" s="412"/>
      <c r="AK21" s="412"/>
      <c r="AL21" s="412"/>
      <c r="AM21" s="412"/>
      <c r="AN21" s="412"/>
      <c r="AO21" s="412"/>
      <c r="AP21" s="412"/>
      <c r="AQ21" s="412"/>
      <c r="AR21" s="412"/>
      <c r="AS21" s="412"/>
      <c r="AT21" s="412"/>
      <c r="AU21" s="412"/>
      <c r="AV21" s="412"/>
      <c r="AW21" s="412"/>
      <c r="AX21" s="412"/>
      <c r="AY21" s="412"/>
      <c r="AZ21" s="412"/>
      <c r="BA21" s="412"/>
      <c r="BB21" s="412"/>
      <c r="BC21" s="412"/>
      <c r="BD21" s="412"/>
      <c r="BE21" s="399"/>
      <c r="BF21" s="398"/>
      <c r="BG21" s="398"/>
      <c r="BH21" s="398"/>
    </row>
    <row r="22" spans="1:60" ht="15" customHeight="1">
      <c r="A22" s="419" t="s">
        <v>501</v>
      </c>
      <c r="B22" s="414"/>
      <c r="C22" s="421">
        <f>RESULTADOS!B17</f>
        <v>117910.85</v>
      </c>
      <c r="D22" s="422">
        <f>+C22-E22</f>
        <v>0</v>
      </c>
      <c r="E22" s="423">
        <v>117910.85</v>
      </c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  <c r="Q22" s="412"/>
      <c r="R22" s="412"/>
      <c r="S22" s="412"/>
      <c r="T22" s="412"/>
      <c r="U22" s="412"/>
      <c r="V22" s="412"/>
      <c r="W22" s="412"/>
      <c r="X22" s="412"/>
      <c r="Y22" s="412"/>
      <c r="Z22" s="412"/>
      <c r="AA22" s="412"/>
      <c r="AB22" s="412"/>
      <c r="AC22" s="412"/>
      <c r="AD22" s="412"/>
      <c r="AE22" s="412"/>
      <c r="AF22" s="412"/>
      <c r="AG22" s="412"/>
      <c r="AH22" s="412"/>
      <c r="AI22" s="412"/>
      <c r="AJ22" s="412"/>
      <c r="AK22" s="412"/>
      <c r="AL22" s="412"/>
      <c r="AM22" s="412"/>
      <c r="AN22" s="412"/>
      <c r="AO22" s="412"/>
      <c r="AP22" s="412"/>
      <c r="AQ22" s="412"/>
      <c r="AR22" s="412"/>
      <c r="AS22" s="412"/>
      <c r="AT22" s="412"/>
      <c r="AU22" s="412"/>
      <c r="AV22" s="412"/>
      <c r="AW22" s="412"/>
      <c r="AX22" s="412"/>
      <c r="AY22" s="412"/>
      <c r="AZ22" s="412"/>
      <c r="BA22" s="412"/>
      <c r="BB22" s="412"/>
      <c r="BC22" s="412"/>
      <c r="BD22" s="412"/>
      <c r="BE22" s="399"/>
      <c r="BF22" s="398"/>
      <c r="BG22" s="398"/>
      <c r="BH22" s="398"/>
    </row>
    <row r="23" spans="1:60" ht="3" customHeight="1">
      <c r="A23" s="419"/>
      <c r="B23" s="414"/>
      <c r="C23" s="415"/>
      <c r="D23" s="416"/>
      <c r="E23" s="418"/>
      <c r="F23" s="412"/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2"/>
      <c r="AC23" s="412"/>
      <c r="AD23" s="412"/>
      <c r="AE23" s="412"/>
      <c r="AF23" s="412"/>
      <c r="AG23" s="412"/>
      <c r="AH23" s="412"/>
      <c r="AI23" s="412"/>
      <c r="AJ23" s="412"/>
      <c r="AK23" s="412"/>
      <c r="AL23" s="412"/>
      <c r="AM23" s="412"/>
      <c r="AN23" s="412"/>
      <c r="AO23" s="412"/>
      <c r="AP23" s="412"/>
      <c r="AQ23" s="412"/>
      <c r="AR23" s="412"/>
      <c r="AS23" s="412"/>
      <c r="AT23" s="412"/>
      <c r="AU23" s="412"/>
      <c r="AV23" s="412"/>
      <c r="AW23" s="412"/>
      <c r="AX23" s="412"/>
      <c r="AY23" s="412"/>
      <c r="AZ23" s="412"/>
      <c r="BA23" s="412"/>
      <c r="BB23" s="412"/>
      <c r="BC23" s="412"/>
      <c r="BD23" s="412"/>
      <c r="BE23" s="399"/>
      <c r="BF23" s="398"/>
      <c r="BG23" s="398"/>
      <c r="BH23" s="398"/>
    </row>
    <row r="24" spans="1:60" ht="15" customHeight="1">
      <c r="A24" s="413" t="s">
        <v>502</v>
      </c>
      <c r="B24" s="414"/>
      <c r="C24" s="415">
        <f>+C25+C26</f>
        <v>1249442.5315</v>
      </c>
      <c r="D24" s="416"/>
      <c r="E24" s="418"/>
      <c r="F24" s="412"/>
      <c r="G24" s="412"/>
      <c r="H24" s="412"/>
      <c r="I24" s="412"/>
      <c r="J24" s="412"/>
      <c r="K24" s="412"/>
      <c r="L24" s="412"/>
      <c r="M24" s="412"/>
      <c r="N24" s="412"/>
      <c r="O24" s="412"/>
      <c r="P24" s="412"/>
      <c r="Q24" s="412"/>
      <c r="R24" s="412"/>
      <c r="S24" s="412"/>
      <c r="T24" s="412"/>
      <c r="U24" s="412"/>
      <c r="V24" s="412"/>
      <c r="W24" s="412"/>
      <c r="X24" s="412"/>
      <c r="Y24" s="412"/>
      <c r="Z24" s="412"/>
      <c r="AA24" s="412"/>
      <c r="AB24" s="412"/>
      <c r="AC24" s="412"/>
      <c r="AD24" s="412"/>
      <c r="AE24" s="412"/>
      <c r="AF24" s="412"/>
      <c r="AG24" s="412"/>
      <c r="AH24" s="412"/>
      <c r="AI24" s="412"/>
      <c r="AJ24" s="412"/>
      <c r="AK24" s="412"/>
      <c r="AL24" s="412"/>
      <c r="AM24" s="412"/>
      <c r="AN24" s="412"/>
      <c r="AO24" s="412"/>
      <c r="AP24" s="412"/>
      <c r="AQ24" s="412"/>
      <c r="AR24" s="412"/>
      <c r="AS24" s="412"/>
      <c r="AT24" s="412"/>
      <c r="AU24" s="412"/>
      <c r="AV24" s="412"/>
      <c r="AW24" s="412"/>
      <c r="AX24" s="412"/>
      <c r="AY24" s="412"/>
      <c r="AZ24" s="412"/>
      <c r="BA24" s="412"/>
      <c r="BB24" s="412"/>
      <c r="BC24" s="412"/>
      <c r="BD24" s="412"/>
      <c r="BE24" s="399"/>
      <c r="BF24" s="398"/>
      <c r="BG24" s="398"/>
      <c r="BH24" s="398"/>
    </row>
    <row r="25" spans="1:60" ht="15" customHeight="1">
      <c r="A25" s="424" t="s">
        <v>503</v>
      </c>
      <c r="B25" s="420">
        <v>0</v>
      </c>
      <c r="C25" s="421">
        <f>RESULTADOS!B13</f>
        <v>1249442.5315</v>
      </c>
      <c r="D25" s="422">
        <f>+C25-E25</f>
        <v>1249442.5315</v>
      </c>
      <c r="E25" s="423">
        <v>0</v>
      </c>
      <c r="F25" s="412"/>
      <c r="G25" s="412"/>
      <c r="H25" s="412"/>
      <c r="I25" s="412"/>
      <c r="J25" s="412"/>
      <c r="K25" s="412"/>
      <c r="L25" s="412"/>
      <c r="M25" s="412"/>
      <c r="N25" s="412"/>
      <c r="O25" s="412"/>
      <c r="P25" s="412"/>
      <c r="Q25" s="412"/>
      <c r="R25" s="412"/>
      <c r="S25" s="412"/>
      <c r="T25" s="412"/>
      <c r="U25" s="412"/>
      <c r="V25" s="412"/>
      <c r="W25" s="412"/>
      <c r="X25" s="412"/>
      <c r="Y25" s="412"/>
      <c r="Z25" s="412"/>
      <c r="AA25" s="412"/>
      <c r="AB25" s="412"/>
      <c r="AC25" s="412"/>
      <c r="AD25" s="412"/>
      <c r="AE25" s="412"/>
      <c r="AF25" s="412"/>
      <c r="AG25" s="412"/>
      <c r="AH25" s="412"/>
      <c r="AI25" s="412"/>
      <c r="AJ25" s="412"/>
      <c r="AK25" s="412"/>
      <c r="AL25" s="412"/>
      <c r="AM25" s="412"/>
      <c r="AN25" s="412"/>
      <c r="AO25" s="412"/>
      <c r="AP25" s="412"/>
      <c r="AQ25" s="412"/>
      <c r="AR25" s="412"/>
      <c r="AS25" s="412"/>
      <c r="AT25" s="412"/>
      <c r="AU25" s="412"/>
      <c r="AV25" s="412"/>
      <c r="AW25" s="412"/>
      <c r="AX25" s="412"/>
      <c r="AY25" s="412"/>
      <c r="AZ25" s="412"/>
      <c r="BA25" s="412"/>
      <c r="BB25" s="412"/>
      <c r="BC25" s="412"/>
      <c r="BD25" s="412"/>
      <c r="BE25" s="399"/>
      <c r="BF25" s="398"/>
      <c r="BG25" s="398"/>
      <c r="BH25" s="398"/>
    </row>
    <row r="26" spans="1:60" ht="15" customHeight="1">
      <c r="A26" s="419" t="s">
        <v>504</v>
      </c>
      <c r="B26" s="420"/>
      <c r="C26" s="421">
        <v>0</v>
      </c>
      <c r="D26" s="422">
        <f>+C26-E26</f>
        <v>0</v>
      </c>
      <c r="E26" s="423">
        <v>0</v>
      </c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2"/>
      <c r="AB26" s="412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412"/>
      <c r="AY26" s="412"/>
      <c r="AZ26" s="412"/>
      <c r="BA26" s="412"/>
      <c r="BB26" s="412"/>
      <c r="BC26" s="412"/>
      <c r="BD26" s="412"/>
      <c r="BE26" s="399"/>
      <c r="BF26" s="398"/>
      <c r="BG26" s="398"/>
      <c r="BH26" s="398"/>
    </row>
    <row r="27" spans="1:60" ht="15" customHeight="1">
      <c r="A27" s="425"/>
      <c r="D27" s="425"/>
      <c r="F27" s="412"/>
      <c r="G27" s="412"/>
      <c r="H27" s="412"/>
      <c r="I27" s="412"/>
      <c r="J27" s="412"/>
      <c r="K27" s="412"/>
      <c r="L27" s="412"/>
      <c r="M27" s="412"/>
      <c r="N27" s="412"/>
      <c r="O27" s="412"/>
      <c r="P27" s="412"/>
      <c r="Q27" s="412"/>
      <c r="R27" s="412"/>
      <c r="S27" s="412"/>
      <c r="T27" s="412"/>
      <c r="U27" s="412"/>
      <c r="V27" s="412"/>
      <c r="W27" s="412"/>
      <c r="X27" s="412"/>
      <c r="Y27" s="412"/>
      <c r="Z27" s="412"/>
      <c r="AA27" s="412"/>
      <c r="AB27" s="412"/>
      <c r="AC27" s="412"/>
      <c r="AD27" s="412"/>
      <c r="AE27" s="412"/>
      <c r="AF27" s="412"/>
      <c r="AG27" s="412"/>
      <c r="AH27" s="412"/>
      <c r="AI27" s="412"/>
      <c r="AJ27" s="412"/>
      <c r="AK27" s="412"/>
      <c r="AL27" s="412"/>
      <c r="AM27" s="412"/>
      <c r="AN27" s="412"/>
      <c r="AO27" s="412"/>
      <c r="AP27" s="412"/>
      <c r="AQ27" s="412"/>
      <c r="AR27" s="412"/>
      <c r="AS27" s="412"/>
      <c r="AT27" s="412"/>
      <c r="AU27" s="412"/>
      <c r="AV27" s="412"/>
      <c r="AW27" s="412"/>
      <c r="AX27" s="412"/>
      <c r="AY27" s="412"/>
      <c r="AZ27" s="412"/>
      <c r="BA27" s="412"/>
      <c r="BB27" s="412"/>
      <c r="BC27" s="412"/>
      <c r="BD27" s="412"/>
      <c r="BE27" s="399"/>
      <c r="BF27" s="398"/>
      <c r="BG27" s="398"/>
      <c r="BH27" s="398"/>
    </row>
    <row r="28" spans="1:60" ht="15" customHeight="1">
      <c r="A28" s="425"/>
      <c r="D28" s="399"/>
      <c r="F28" s="426"/>
      <c r="G28" s="426"/>
      <c r="H28" s="426"/>
      <c r="I28" s="426"/>
      <c r="J28" s="426"/>
      <c r="K28" s="426"/>
      <c r="L28" s="426"/>
      <c r="M28" s="426"/>
      <c r="N28" s="426"/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  <c r="AA28" s="426"/>
      <c r="AB28" s="426"/>
      <c r="AC28" s="426"/>
      <c r="AD28" s="426"/>
      <c r="AE28" s="426"/>
      <c r="AF28" s="426"/>
      <c r="AG28" s="426"/>
      <c r="AH28" s="426"/>
      <c r="AI28" s="426"/>
      <c r="AJ28" s="426"/>
      <c r="AK28" s="426"/>
      <c r="AL28" s="426"/>
      <c r="AM28" s="426"/>
      <c r="AN28" s="426"/>
      <c r="AO28" s="426"/>
      <c r="AP28" s="412"/>
      <c r="AQ28" s="412"/>
      <c r="AR28" s="412"/>
      <c r="AS28" s="412"/>
      <c r="AT28" s="412"/>
      <c r="AU28" s="412"/>
      <c r="AV28" s="412"/>
      <c r="AW28" s="412"/>
      <c r="AX28" s="412"/>
      <c r="AY28" s="412"/>
      <c r="AZ28" s="412"/>
      <c r="BA28" s="412"/>
      <c r="BB28" s="412"/>
      <c r="BC28" s="412"/>
      <c r="BD28" s="412"/>
      <c r="BE28" s="399"/>
      <c r="BF28" s="398"/>
      <c r="BG28" s="398"/>
      <c r="BH28" s="398"/>
    </row>
    <row r="29" spans="1:60" ht="15" customHeight="1">
      <c r="A29" s="399"/>
      <c r="B29" s="399"/>
      <c r="C29" s="399"/>
      <c r="D29" s="399"/>
      <c r="E29" s="399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  <c r="AA29" s="427"/>
      <c r="AB29" s="427"/>
      <c r="AC29" s="427"/>
      <c r="AD29" s="427"/>
      <c r="AE29" s="427"/>
      <c r="AF29" s="427"/>
      <c r="AG29" s="427"/>
      <c r="AH29" s="427"/>
      <c r="AI29" s="427"/>
      <c r="AJ29" s="427"/>
      <c r="AK29" s="427"/>
      <c r="AL29" s="427"/>
      <c r="AM29" s="427"/>
      <c r="AN29" s="427"/>
      <c r="AO29" s="427"/>
      <c r="AP29" s="412"/>
      <c r="AQ29" s="412"/>
      <c r="AR29" s="412"/>
      <c r="AS29" s="412"/>
      <c r="AT29" s="412"/>
      <c r="AU29" s="412"/>
      <c r="AV29" s="412"/>
      <c r="AW29" s="412"/>
      <c r="AX29" s="412"/>
      <c r="AY29" s="412"/>
      <c r="AZ29" s="412"/>
      <c r="BA29" s="412"/>
      <c r="BB29" s="412"/>
      <c r="BC29" s="412"/>
      <c r="BD29" s="412"/>
      <c r="BE29" s="399"/>
      <c r="BF29" s="398"/>
      <c r="BG29" s="398"/>
      <c r="BH29" s="398"/>
    </row>
    <row r="30" spans="1:60" ht="15" customHeight="1">
      <c r="A30" s="413" t="s">
        <v>505</v>
      </c>
      <c r="B30" s="414">
        <f>SUM(B31)</f>
        <v>0</v>
      </c>
      <c r="C30" s="415">
        <f>RESULTADOS!B5</f>
        <v>7081052.5520000057</v>
      </c>
      <c r="D30" s="416">
        <f>SUM(G30:Z30)</f>
        <v>7081052.5519999992</v>
      </c>
      <c r="E30" s="417">
        <f>SUM(E31)</f>
        <v>0</v>
      </c>
      <c r="F30" s="428">
        <v>0</v>
      </c>
      <c r="G30" s="428">
        <f>'FLUJO DE INGRESOS'!X117</f>
        <v>1492.8355200000001</v>
      </c>
      <c r="H30" s="428">
        <f>'FLUJO DE INGRESOS'!Y117</f>
        <v>4977.474556000001</v>
      </c>
      <c r="I30" s="428">
        <f>'FLUJO DE INGRESOS'!Z117</f>
        <v>10270.685972000001</v>
      </c>
      <c r="J30" s="428">
        <f>'FLUJO DE INGRESOS'!AA117</f>
        <v>20642.910701333334</v>
      </c>
      <c r="K30" s="428">
        <f>'FLUJO DE INGRESOS'!AB117</f>
        <v>150549.75985200002</v>
      </c>
      <c r="L30" s="428">
        <f>'FLUJO DE INGRESOS'!AC117</f>
        <v>233177.52118800007</v>
      </c>
      <c r="M30" s="428">
        <f>'FLUJO DE INGRESOS'!AD117</f>
        <v>450794.91997599974</v>
      </c>
      <c r="N30" s="428">
        <f>'FLUJO DE INGRESOS'!AE117</f>
        <v>594100.17278933327</v>
      </c>
      <c r="O30" s="428">
        <f>'FLUJO DE INGRESOS'!AF117</f>
        <v>655089.35115066636</v>
      </c>
      <c r="P30" s="428">
        <f>'FLUJO DE INGRESOS'!AG117</f>
        <v>651160.8883973331</v>
      </c>
      <c r="Q30" s="428">
        <f>'FLUJO DE INGRESOS'!AH117</f>
        <v>712574.56700399984</v>
      </c>
      <c r="R30" s="428">
        <f>'FLUJO DE INGRESOS'!AI117</f>
        <v>774791.95772266656</v>
      </c>
      <c r="S30" s="428">
        <f>'FLUJO DE INGRESOS'!AJ117</f>
        <v>577340.67933333328</v>
      </c>
      <c r="T30" s="428">
        <f>'FLUJO DE INGRESOS'!AK117</f>
        <v>678634.85720933322</v>
      </c>
      <c r="U30" s="428">
        <f>'FLUJO DE INGRESOS'!AL117</f>
        <v>474678.44944533304</v>
      </c>
      <c r="V30" s="428">
        <f>'FLUJO DE INGRESOS'!AM117</f>
        <v>349406.62458266655</v>
      </c>
      <c r="W30" s="428">
        <f>'FLUJO DE INGRESOS'!AN117</f>
        <v>382381.77679999993</v>
      </c>
      <c r="X30" s="428">
        <f>'FLUJO DE INGRESOS'!AO117</f>
        <v>242491.41319999998</v>
      </c>
      <c r="Y30" s="428">
        <f>'FLUJO DE INGRESOS'!AP117</f>
        <v>58492.079099999995</v>
      </c>
      <c r="Z30" s="428">
        <f>'FLUJO DE INGRESOS'!AQ117</f>
        <v>58003.627499999995</v>
      </c>
      <c r="AA30" s="428">
        <f>'FLUJO DE INGRESOS'!AR117</f>
        <v>0</v>
      </c>
      <c r="AB30" s="428">
        <f>'FLUJO DE INGRESOS'!AS117</f>
        <v>0</v>
      </c>
      <c r="AC30" s="428">
        <f>'FLUJO DE INGRESOS'!AT117</f>
        <v>0</v>
      </c>
      <c r="AD30" s="428">
        <f>'FLUJO DE INGRESOS'!AU117</f>
        <v>0</v>
      </c>
      <c r="AE30" s="428">
        <f>'FLUJO DE INGRESOS'!AV117</f>
        <v>0</v>
      </c>
      <c r="AF30" s="428">
        <f>'FLUJO DE INGRESOS'!AW117</f>
        <v>0</v>
      </c>
      <c r="AG30" s="428">
        <f>'FLUJO DE INGRESOS'!AX117</f>
        <v>0</v>
      </c>
      <c r="AH30" s="428">
        <f>'FLUJO DE INGRESOS'!AY117</f>
        <v>0</v>
      </c>
      <c r="AI30" s="428">
        <f>'FLUJO DE INGRESOS'!AZ117</f>
        <v>0</v>
      </c>
      <c r="AJ30" s="428">
        <f>'FLUJO DE INGRESOS'!BA117</f>
        <v>0</v>
      </c>
      <c r="AK30" s="428">
        <f>'FLUJO DE INGRESOS'!BB117</f>
        <v>0</v>
      </c>
      <c r="AL30" s="428">
        <f>'FLUJO DE INGRESOS'!BC117</f>
        <v>0</v>
      </c>
      <c r="AM30" s="428">
        <f>'FLUJO DE INGRESOS'!BD117</f>
        <v>0</v>
      </c>
      <c r="AN30" s="428">
        <f>'FLUJO DE INGRESOS'!BE117</f>
        <v>0</v>
      </c>
      <c r="AO30" s="428">
        <f>'FLUJO DE INGRESOS'!BF117</f>
        <v>0</v>
      </c>
      <c r="AP30" s="428">
        <f>'FLUJO DE INGRESOS'!BG117</f>
        <v>0</v>
      </c>
      <c r="AQ30" s="428">
        <f>'FLUJO DE INGRESOS'!BH117</f>
        <v>0</v>
      </c>
      <c r="AR30" s="428">
        <f>'FLUJO DE INGRESOS'!BI117</f>
        <v>0</v>
      </c>
      <c r="AS30" s="428">
        <f>'FLUJO DE INGRESOS'!BJ117</f>
        <v>0</v>
      </c>
      <c r="AT30" s="428">
        <f>'FLUJO DE INGRESOS'!BK117</f>
        <v>0</v>
      </c>
      <c r="AU30" s="428">
        <f>'FLUJO DE INGRESOS'!BL117</f>
        <v>0</v>
      </c>
      <c r="AV30" s="428">
        <f>'FLUJO DE INGRESOS'!BM117</f>
        <v>0</v>
      </c>
      <c r="AW30" s="428">
        <f>'FLUJO DE INGRESOS'!BN117</f>
        <v>0</v>
      </c>
      <c r="AX30" s="428">
        <f>'FLUJO DE INGRESOS'!BO117</f>
        <v>0</v>
      </c>
      <c r="AY30" s="428">
        <f>'FLUJO DE INGRESOS'!BP117</f>
        <v>0</v>
      </c>
      <c r="AZ30" s="428">
        <f>'FLUJO DE INGRESOS'!BQ117</f>
        <v>0</v>
      </c>
      <c r="BA30" s="428">
        <f>'FLUJO DE INGRESOS'!BR117</f>
        <v>0</v>
      </c>
      <c r="BB30" s="428">
        <f>'FLUJO DE INGRESOS'!BS117</f>
        <v>0</v>
      </c>
      <c r="BC30" s="428">
        <f>'FLUJO DE INGRESOS'!BT117</f>
        <v>0</v>
      </c>
      <c r="BD30" s="428">
        <f>'FLUJO DE INGRESOS'!BU117</f>
        <v>0</v>
      </c>
      <c r="BE30" s="428">
        <f>SUM(E30:BB30)</f>
        <v>7081052.5519999992</v>
      </c>
      <c r="BF30" s="398"/>
      <c r="BG30" s="421">
        <f>C30</f>
        <v>7081052.5520000057</v>
      </c>
      <c r="BH30" s="398"/>
    </row>
    <row r="31" spans="1:60" ht="15" customHeight="1">
      <c r="A31" s="419" t="str">
        <f>+'[3]Cuadro Resumen'!K15</f>
        <v>Viviendas</v>
      </c>
      <c r="B31" s="420"/>
      <c r="C31" s="421">
        <f>'FLUJO DE INGRESOS'!O117</f>
        <v>7081052.5520000057</v>
      </c>
      <c r="D31" s="416">
        <f>SUM(G31:Z31)</f>
        <v>7081052.5519999992</v>
      </c>
      <c r="E31" s="423">
        <v>0</v>
      </c>
      <c r="F31" s="419"/>
      <c r="G31" s="419">
        <f>'FLUJO DE INGRESOS'!X117</f>
        <v>1492.8355200000001</v>
      </c>
      <c r="H31" s="419">
        <f>'FLUJO DE INGRESOS'!Y117</f>
        <v>4977.474556000001</v>
      </c>
      <c r="I31" s="419">
        <f>'FLUJO DE INGRESOS'!Z117</f>
        <v>10270.685972000001</v>
      </c>
      <c r="J31" s="419">
        <f>'FLUJO DE INGRESOS'!AA117</f>
        <v>20642.910701333334</v>
      </c>
      <c r="K31" s="419">
        <f>'FLUJO DE INGRESOS'!AB117</f>
        <v>150549.75985200002</v>
      </c>
      <c r="L31" s="419">
        <f>'FLUJO DE INGRESOS'!AC117</f>
        <v>233177.52118800007</v>
      </c>
      <c r="M31" s="419">
        <f>'FLUJO DE INGRESOS'!AD117</f>
        <v>450794.91997599974</v>
      </c>
      <c r="N31" s="419">
        <f>'FLUJO DE INGRESOS'!AE117</f>
        <v>594100.17278933327</v>
      </c>
      <c r="O31" s="419">
        <f>'FLUJO DE INGRESOS'!AF117</f>
        <v>655089.35115066636</v>
      </c>
      <c r="P31" s="419">
        <f>'FLUJO DE INGRESOS'!AG117</f>
        <v>651160.8883973331</v>
      </c>
      <c r="Q31" s="419">
        <f>'FLUJO DE INGRESOS'!AH117</f>
        <v>712574.56700399984</v>
      </c>
      <c r="R31" s="419">
        <f>'FLUJO DE INGRESOS'!AI117</f>
        <v>774791.95772266656</v>
      </c>
      <c r="S31" s="419">
        <f>'FLUJO DE INGRESOS'!AJ117</f>
        <v>577340.67933333328</v>
      </c>
      <c r="T31" s="419">
        <f>'FLUJO DE INGRESOS'!AK117</f>
        <v>678634.85720933322</v>
      </c>
      <c r="U31" s="419">
        <f>'FLUJO DE INGRESOS'!AL117</f>
        <v>474678.44944533304</v>
      </c>
      <c r="V31" s="419">
        <f>'FLUJO DE INGRESOS'!AM117</f>
        <v>349406.62458266655</v>
      </c>
      <c r="W31" s="419">
        <f>'FLUJO DE INGRESOS'!AN117</f>
        <v>382381.77679999993</v>
      </c>
      <c r="X31" s="419">
        <f>'FLUJO DE INGRESOS'!AO117</f>
        <v>242491.41319999998</v>
      </c>
      <c r="Y31" s="419">
        <f>'FLUJO DE INGRESOS'!AP117</f>
        <v>58492.079099999995</v>
      </c>
      <c r="Z31" s="419">
        <f>'FLUJO DE INGRESOS'!AQ117</f>
        <v>58003.627499999995</v>
      </c>
      <c r="AA31" s="398"/>
      <c r="AB31" s="398"/>
      <c r="AC31" s="398"/>
      <c r="AD31" s="398"/>
      <c r="AE31" s="398"/>
      <c r="AF31" s="398"/>
      <c r="AG31" s="398"/>
      <c r="AH31" s="398"/>
      <c r="AI31" s="398"/>
      <c r="AJ31" s="398"/>
      <c r="AK31" s="398"/>
      <c r="AL31" s="398"/>
      <c r="AM31" s="398"/>
      <c r="AN31" s="398"/>
      <c r="AO31" s="398"/>
      <c r="AP31" s="398"/>
      <c r="AQ31" s="398"/>
      <c r="AR31" s="398"/>
      <c r="AS31" s="398"/>
      <c r="AT31" s="398"/>
      <c r="AU31" s="398"/>
      <c r="AV31" s="398"/>
      <c r="AW31" s="398"/>
      <c r="AX31" s="398"/>
      <c r="AY31" s="398"/>
      <c r="AZ31" s="398"/>
      <c r="BA31" s="398"/>
      <c r="BB31" s="398"/>
      <c r="BC31" s="398"/>
      <c r="BD31" s="398"/>
      <c r="BE31" s="428">
        <f>SUM(E31:BB31)</f>
        <v>7081052.5519999992</v>
      </c>
      <c r="BF31" s="398"/>
      <c r="BG31" s="398"/>
      <c r="BH31" s="398"/>
    </row>
    <row r="32" spans="1:60" ht="15" customHeight="1">
      <c r="A32" s="425"/>
      <c r="B32" s="399"/>
      <c r="C32" s="399"/>
      <c r="D32" s="399"/>
      <c r="E32" s="399"/>
      <c r="F32" s="429"/>
      <c r="G32" s="429"/>
      <c r="H32" s="429"/>
      <c r="I32" s="429"/>
      <c r="J32" s="429"/>
      <c r="K32" s="429"/>
      <c r="L32" s="429"/>
      <c r="M32" s="429"/>
      <c r="N32" s="429"/>
      <c r="O32" s="429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  <c r="AG32" s="429"/>
      <c r="AH32" s="429"/>
      <c r="AI32" s="429"/>
      <c r="AJ32" s="429"/>
      <c r="AK32" s="429"/>
      <c r="AL32" s="429"/>
      <c r="AM32" s="429"/>
      <c r="AN32" s="429"/>
      <c r="AO32" s="429"/>
      <c r="AP32" s="429"/>
      <c r="AQ32" s="429"/>
      <c r="AR32" s="398"/>
      <c r="AS32" s="398"/>
      <c r="AT32" s="398"/>
      <c r="AU32" s="398"/>
      <c r="AV32" s="398"/>
      <c r="AW32" s="398"/>
      <c r="AX32" s="398"/>
      <c r="AY32" s="398"/>
      <c r="AZ32" s="398"/>
      <c r="BA32" s="398"/>
      <c r="BB32" s="398"/>
      <c r="BC32" s="398"/>
      <c r="BD32" s="398"/>
      <c r="BE32" s="399"/>
      <c r="BF32" s="398"/>
      <c r="BG32" s="398"/>
      <c r="BH32" s="398"/>
    </row>
    <row r="33" spans="1:62" ht="15" customHeight="1">
      <c r="A33" s="430" t="s">
        <v>506</v>
      </c>
      <c r="B33" s="431">
        <f>SUM(B35:B46,B49:B58)</f>
        <v>0</v>
      </c>
      <c r="C33" s="432">
        <f>SUM(C35:C46,C49:C58)</f>
        <v>-5422937.6215764889</v>
      </c>
      <c r="D33" s="416">
        <f>SUM(D35:D46,D49:D58)</f>
        <v>-4846678.3615764892</v>
      </c>
      <c r="E33" s="433">
        <f>SUM(E35:E46,E49:E58)</f>
        <v>576259.26</v>
      </c>
      <c r="F33" s="434">
        <f t="shared" ref="F33:AK33" si="2">+SUM(F35:F58)</f>
        <v>-576259.26</v>
      </c>
      <c r="G33" s="434">
        <f t="shared" si="2"/>
        <v>-263631.4957398132</v>
      </c>
      <c r="H33" s="434">
        <f t="shared" si="2"/>
        <v>-263736.03491089318</v>
      </c>
      <c r="I33" s="434">
        <f t="shared" si="2"/>
        <v>-343483.00523774821</v>
      </c>
      <c r="J33" s="434">
        <f t="shared" si="2"/>
        <v>-343794.17197962821</v>
      </c>
      <c r="K33" s="434">
        <f t="shared" si="2"/>
        <v>-248272.93379128835</v>
      </c>
      <c r="L33" s="434">
        <f t="shared" si="2"/>
        <v>-250751.76663136834</v>
      </c>
      <c r="M33" s="434">
        <f t="shared" si="2"/>
        <v>-257280.28859500831</v>
      </c>
      <c r="N33" s="434">
        <f t="shared" si="2"/>
        <v>-195687.55547511828</v>
      </c>
      <c r="O33" s="434">
        <f t="shared" si="2"/>
        <v>-197517.23082595828</v>
      </c>
      <c r="P33" s="434">
        <f t="shared" si="2"/>
        <v>-202973.41943127074</v>
      </c>
      <c r="Q33" s="434">
        <f t="shared" si="2"/>
        <v>-204815.82978947076</v>
      </c>
      <c r="R33" s="434">
        <f t="shared" si="2"/>
        <v>-268151.28289872326</v>
      </c>
      <c r="S33" s="434">
        <f t="shared" si="2"/>
        <v>-409410.63920979825</v>
      </c>
      <c r="T33" s="434">
        <f t="shared" si="2"/>
        <v>-436588.59423381073</v>
      </c>
      <c r="U33" s="434">
        <f t="shared" si="2"/>
        <v>-296405.34469680075</v>
      </c>
      <c r="V33" s="434">
        <f t="shared" si="2"/>
        <v>-253681.19361093326</v>
      </c>
      <c r="W33" s="434">
        <f t="shared" si="2"/>
        <v>-209775.49655666828</v>
      </c>
      <c r="X33" s="434">
        <f t="shared" si="2"/>
        <v>-189410.08844918828</v>
      </c>
      <c r="Y33" s="434">
        <f t="shared" si="2"/>
        <v>-5663.3163729999997</v>
      </c>
      <c r="Z33" s="434">
        <f t="shared" si="2"/>
        <v>-5648.6628249999994</v>
      </c>
      <c r="AA33" s="434">
        <f t="shared" si="2"/>
        <v>0</v>
      </c>
      <c r="AB33" s="434">
        <f t="shared" si="2"/>
        <v>0</v>
      </c>
      <c r="AC33" s="434">
        <f t="shared" si="2"/>
        <v>0</v>
      </c>
      <c r="AD33" s="434">
        <f t="shared" si="2"/>
        <v>0</v>
      </c>
      <c r="AE33" s="434">
        <f t="shared" si="2"/>
        <v>0</v>
      </c>
      <c r="AF33" s="434">
        <f t="shared" si="2"/>
        <v>0</v>
      </c>
      <c r="AG33" s="434">
        <f t="shared" si="2"/>
        <v>0</v>
      </c>
      <c r="AH33" s="434">
        <f t="shared" si="2"/>
        <v>0</v>
      </c>
      <c r="AI33" s="434">
        <f t="shared" si="2"/>
        <v>0</v>
      </c>
      <c r="AJ33" s="434">
        <f t="shared" si="2"/>
        <v>0</v>
      </c>
      <c r="AK33" s="434">
        <f t="shared" si="2"/>
        <v>0</v>
      </c>
      <c r="AL33" s="434">
        <f t="shared" ref="AL33:BB33" si="3">+SUM(AL35:AL58)</f>
        <v>0</v>
      </c>
      <c r="AM33" s="434">
        <f t="shared" si="3"/>
        <v>0</v>
      </c>
      <c r="AN33" s="434">
        <f t="shared" si="3"/>
        <v>0</v>
      </c>
      <c r="AO33" s="434">
        <f t="shared" si="3"/>
        <v>0</v>
      </c>
      <c r="AP33" s="434">
        <f t="shared" si="3"/>
        <v>0</v>
      </c>
      <c r="AQ33" s="434">
        <f t="shared" si="3"/>
        <v>0</v>
      </c>
      <c r="AR33" s="434">
        <f t="shared" si="3"/>
        <v>0</v>
      </c>
      <c r="AS33" s="434">
        <f t="shared" si="3"/>
        <v>0</v>
      </c>
      <c r="AT33" s="434">
        <f t="shared" si="3"/>
        <v>0</v>
      </c>
      <c r="AU33" s="434">
        <f t="shared" si="3"/>
        <v>0</v>
      </c>
      <c r="AV33" s="434">
        <f t="shared" si="3"/>
        <v>0</v>
      </c>
      <c r="AW33" s="434">
        <f t="shared" si="3"/>
        <v>0</v>
      </c>
      <c r="AX33" s="434">
        <f t="shared" si="3"/>
        <v>0</v>
      </c>
      <c r="AY33" s="434">
        <f t="shared" si="3"/>
        <v>0</v>
      </c>
      <c r="AZ33" s="434">
        <f t="shared" si="3"/>
        <v>0</v>
      </c>
      <c r="BA33" s="434">
        <f t="shared" si="3"/>
        <v>0</v>
      </c>
      <c r="BB33" s="434">
        <f t="shared" si="3"/>
        <v>0</v>
      </c>
      <c r="BC33" s="434"/>
      <c r="BD33" s="434"/>
      <c r="BE33" s="428">
        <f>+SUM(F33:BC33)</f>
        <v>-5422937.6112614889</v>
      </c>
      <c r="BF33" s="398"/>
      <c r="BG33" s="415">
        <f>+C33</f>
        <v>-5422937.6215764889</v>
      </c>
      <c r="BH33" s="398"/>
      <c r="BI33" s="191" t="b">
        <f t="shared" ref="BI33:BI47" si="4">C33=BE33</f>
        <v>0</v>
      </c>
      <c r="BJ33" s="456">
        <f>+BE33-BG33</f>
        <v>1.0315000079572201E-2</v>
      </c>
    </row>
    <row r="34" spans="1:62" ht="15" customHeight="1">
      <c r="A34" s="430" t="s">
        <v>507</v>
      </c>
      <c r="B34" s="431"/>
      <c r="C34" s="432"/>
      <c r="D34" s="416"/>
      <c r="E34" s="433"/>
      <c r="F34" s="430"/>
      <c r="G34" s="430"/>
      <c r="H34" s="430"/>
      <c r="I34" s="430"/>
      <c r="J34" s="430"/>
      <c r="K34" s="430"/>
      <c r="L34" s="430"/>
      <c r="M34" s="430"/>
      <c r="N34" s="430"/>
      <c r="O34" s="430"/>
      <c r="P34" s="430"/>
      <c r="Q34" s="430"/>
      <c r="R34" s="430"/>
      <c r="S34" s="430"/>
      <c r="T34" s="430"/>
      <c r="U34" s="430"/>
      <c r="V34" s="430"/>
      <c r="W34" s="430"/>
      <c r="X34" s="430"/>
      <c r="Y34" s="430"/>
      <c r="Z34" s="430"/>
      <c r="AA34" s="430"/>
      <c r="AB34" s="430"/>
      <c r="AC34" s="430"/>
      <c r="AD34" s="430"/>
      <c r="AE34" s="430"/>
      <c r="AF34" s="430"/>
      <c r="AG34" s="430"/>
      <c r="AH34" s="430"/>
      <c r="AI34" s="430"/>
      <c r="AJ34" s="430"/>
      <c r="AK34" s="430"/>
      <c r="AL34" s="430"/>
      <c r="AM34" s="430"/>
      <c r="AN34" s="430"/>
      <c r="AO34" s="430"/>
      <c r="AP34" s="430"/>
      <c r="AQ34" s="430"/>
      <c r="AR34" s="430"/>
      <c r="AS34" s="430"/>
      <c r="AT34" s="430"/>
      <c r="AU34" s="430"/>
      <c r="AV34" s="430"/>
      <c r="AW34" s="430"/>
      <c r="AX34" s="430"/>
      <c r="AY34" s="430"/>
      <c r="AZ34" s="430"/>
      <c r="BA34" s="430"/>
      <c r="BB34" s="430"/>
      <c r="BC34" s="430"/>
      <c r="BD34" s="430"/>
      <c r="BE34" s="413"/>
      <c r="BF34" s="398"/>
      <c r="BG34" s="415"/>
      <c r="BH34" s="398"/>
      <c r="BI34" s="191" t="b">
        <f t="shared" si="4"/>
        <v>1</v>
      </c>
    </row>
    <row r="35" spans="1:62" ht="15" customHeight="1">
      <c r="A35" s="419" t="s">
        <v>508</v>
      </c>
      <c r="B35" s="435"/>
      <c r="C35" s="436">
        <f>+-'PRESUPUESTO GENERAL'!H6</f>
        <v>-458348.41</v>
      </c>
      <c r="D35" s="422">
        <f t="shared" ref="D35:D46" si="5">E35+C35</f>
        <v>0</v>
      </c>
      <c r="E35" s="437">
        <v>458348.41</v>
      </c>
      <c r="F35" s="419">
        <f>C35</f>
        <v>-458348.41</v>
      </c>
      <c r="G35" s="419">
        <v>0</v>
      </c>
      <c r="H35" s="438"/>
      <c r="I35" s="438"/>
      <c r="J35" s="438"/>
      <c r="K35" s="438"/>
      <c r="L35" s="438"/>
      <c r="M35" s="438"/>
      <c r="N35" s="438"/>
      <c r="O35" s="438"/>
      <c r="P35" s="438"/>
      <c r="Q35" s="438"/>
      <c r="R35" s="438"/>
      <c r="S35" s="438"/>
      <c r="T35" s="438"/>
      <c r="U35" s="438"/>
      <c r="V35" s="438"/>
      <c r="W35" s="438"/>
      <c r="X35" s="438"/>
      <c r="Y35" s="438"/>
      <c r="Z35" s="438"/>
      <c r="AA35" s="438"/>
      <c r="AB35" s="438"/>
      <c r="AC35" s="438"/>
      <c r="AD35" s="438"/>
      <c r="AE35" s="438"/>
      <c r="AF35" s="438"/>
      <c r="AG35" s="438"/>
      <c r="AH35" s="438"/>
      <c r="AI35" s="438"/>
      <c r="AJ35" s="438"/>
      <c r="AK35" s="438"/>
      <c r="AL35" s="438"/>
      <c r="AM35" s="438"/>
      <c r="AN35" s="438"/>
      <c r="AO35" s="438"/>
      <c r="AP35" s="438"/>
      <c r="AQ35" s="438"/>
      <c r="AR35" s="438"/>
      <c r="AS35" s="438"/>
      <c r="AT35" s="438"/>
      <c r="AU35" s="438"/>
      <c r="AV35" s="438"/>
      <c r="AW35" s="438"/>
      <c r="AX35" s="438"/>
      <c r="AY35" s="438"/>
      <c r="AZ35" s="438"/>
      <c r="BA35" s="438"/>
      <c r="BB35" s="439">
        <f>+D35</f>
        <v>0</v>
      </c>
      <c r="BC35" s="438"/>
      <c r="BD35" s="438"/>
      <c r="BE35" s="413">
        <f>+SUM(F35:BB35)</f>
        <v>-458348.41</v>
      </c>
      <c r="BF35" s="398"/>
      <c r="BG35" s="421">
        <f t="shared" ref="BG35:BG46" si="6">C35</f>
        <v>-458348.41</v>
      </c>
      <c r="BH35" s="398"/>
      <c r="BI35" s="191" t="b">
        <f t="shared" si="4"/>
        <v>1</v>
      </c>
    </row>
    <row r="36" spans="1:62" ht="15" customHeight="1">
      <c r="A36" s="419" t="s">
        <v>509</v>
      </c>
      <c r="B36" s="435"/>
      <c r="C36" s="436">
        <f>-('PRESUPUESTO GENERAL'!H9)</f>
        <v>-157766.48000000001</v>
      </c>
      <c r="D36" s="422">
        <f t="shared" si="5"/>
        <v>-157766.48000000001</v>
      </c>
      <c r="E36" s="437">
        <v>0</v>
      </c>
      <c r="F36" s="419"/>
      <c r="G36" s="419">
        <f>-'CRONOGRAMA VALORADO'!F23</f>
        <v>-22918.36</v>
      </c>
      <c r="H36" s="419">
        <f>-'CRONOGRAMA VALORADO'!G23</f>
        <v>-22918.36</v>
      </c>
      <c r="I36" s="419">
        <f>-'CRONOGRAMA VALORADO'!H23</f>
        <v>-10053.66</v>
      </c>
      <c r="J36" s="419">
        <f>-'CRONOGRAMA VALORADO'!I23</f>
        <v>-10053.66</v>
      </c>
      <c r="K36" s="419">
        <f>-'CRONOGRAMA VALORADO'!J23</f>
        <v>-134.24</v>
      </c>
      <c r="L36" s="419">
        <f>-'CRONOGRAMA VALORADO'!K23</f>
        <v>-134.24</v>
      </c>
      <c r="M36" s="419">
        <f>-'CRONOGRAMA VALORADO'!L23</f>
        <v>-134.24</v>
      </c>
      <c r="N36" s="419">
        <f>-'CRONOGRAMA VALORADO'!M23</f>
        <v>-9915.8449999999993</v>
      </c>
      <c r="O36" s="419">
        <f>-'CRONOGRAMA VALORADO'!N23</f>
        <v>-9915.8449999999993</v>
      </c>
      <c r="P36" s="419">
        <f>-'CRONOGRAMA VALORADO'!O23</f>
        <v>-1885.9806249999999</v>
      </c>
      <c r="Q36" s="419">
        <f>-'CRONOGRAMA VALORADO'!P23</f>
        <v>-1885.9806249999999</v>
      </c>
      <c r="R36" s="419">
        <f>-'CRONOGRAMA VALORADO'!Q23</f>
        <v>-30245.891250000001</v>
      </c>
      <c r="S36" s="419">
        <f>-'CRONOGRAMA VALORADO'!R23</f>
        <v>-30125.001250000001</v>
      </c>
      <c r="T36" s="419">
        <f>-'CRONOGRAMA VALORADO'!S23</f>
        <v>-1489.0352499999999</v>
      </c>
      <c r="U36" s="419">
        <f>-'CRONOGRAMA VALORADO'!T23</f>
        <v>-1489.0352499999999</v>
      </c>
      <c r="V36" s="419">
        <f>-'CRONOGRAMA VALORADO'!U23</f>
        <v>-1489.0352499999999</v>
      </c>
      <c r="W36" s="419">
        <f>-'CRONOGRAMA VALORADO'!V23</f>
        <v>-1489.0352499999999</v>
      </c>
      <c r="X36" s="419">
        <f>-'CRONOGRAMA VALORADO'!W23</f>
        <v>-1489.0352499999999</v>
      </c>
      <c r="Y36" s="419">
        <f>-'CRONOGRAMA VALORADO'!X23</f>
        <v>0</v>
      </c>
      <c r="Z36" s="419">
        <f>-'CRONOGRAMA VALORADO'!Y23</f>
        <v>0</v>
      </c>
      <c r="AA36" s="419">
        <f>-'CRONOGRAMA VALORADO'!Z23</f>
        <v>0</v>
      </c>
      <c r="AB36" s="419">
        <f>-'CRONOGRAMA VALORADO'!AA23</f>
        <v>0</v>
      </c>
      <c r="AC36" s="419">
        <f>+'CRONOGRAMA VALORADO'!AB23</f>
        <v>0</v>
      </c>
      <c r="AD36" s="419">
        <f>+'CRONOGRAMA VALORADO'!AC23</f>
        <v>0</v>
      </c>
      <c r="AE36" s="419">
        <f>+'CRONOGRAMA VALORADO'!AD23</f>
        <v>0</v>
      </c>
      <c r="AF36" s="419">
        <f>+'CRONOGRAMA VALORADO'!AE23</f>
        <v>0</v>
      </c>
      <c r="AG36" s="419">
        <f>+'CRONOGRAMA VALORADO'!AF23</f>
        <v>0</v>
      </c>
      <c r="AH36" s="419">
        <f>+'CRONOGRAMA VALORADO'!AG23</f>
        <v>0</v>
      </c>
      <c r="AI36" s="419">
        <f>+'CRONOGRAMA VALORADO'!AH23</f>
        <v>0</v>
      </c>
      <c r="AJ36" s="419">
        <f>+'CRONOGRAMA VALORADO'!AI23</f>
        <v>0</v>
      </c>
      <c r="AK36" s="419">
        <f>+'CRONOGRAMA VALORADO'!AJ23</f>
        <v>0</v>
      </c>
      <c r="AL36" s="419">
        <f>+'CRONOGRAMA VALORADO'!AK23</f>
        <v>0</v>
      </c>
      <c r="AM36" s="419">
        <f>+'CRONOGRAMA VALORADO'!AL23</f>
        <v>0</v>
      </c>
      <c r="AN36" s="419">
        <f>+'CRONOGRAMA VALORADO'!AM23</f>
        <v>0</v>
      </c>
      <c r="AO36" s="419">
        <f>+'CRONOGRAMA VALORADO'!AN23</f>
        <v>0</v>
      </c>
      <c r="AP36" s="419">
        <f>+'CRONOGRAMA VALORADO'!AO23</f>
        <v>0</v>
      </c>
      <c r="AQ36" s="419">
        <f>+'CRONOGRAMA VALORADO'!AP23</f>
        <v>0</v>
      </c>
      <c r="AR36" s="419">
        <f>+'CRONOGRAMA VALORADO'!AQ23</f>
        <v>0</v>
      </c>
      <c r="AS36" s="419">
        <f>+'CRONOGRAMA VALORADO'!AR23</f>
        <v>0</v>
      </c>
      <c r="AT36" s="419">
        <f>+'CRONOGRAMA VALORADO'!AS23</f>
        <v>0</v>
      </c>
      <c r="AU36" s="419">
        <f>+'CRONOGRAMA VALORADO'!AT23</f>
        <v>0</v>
      </c>
      <c r="AV36" s="419">
        <f>+'CRONOGRAMA VALORADO'!AU23</f>
        <v>0</v>
      </c>
      <c r="AW36" s="419">
        <f>+'CRONOGRAMA VALORADO'!AV23</f>
        <v>0</v>
      </c>
      <c r="AX36" s="419">
        <f>+'CRONOGRAMA VALORADO'!AW23</f>
        <v>0</v>
      </c>
      <c r="AY36" s="419">
        <f>+'CRONOGRAMA VALORADO'!AX23</f>
        <v>0</v>
      </c>
      <c r="AZ36" s="419">
        <f>+'CRONOGRAMA VALORADO'!AY23</f>
        <v>0</v>
      </c>
      <c r="BA36" s="419">
        <f>+'CRONOGRAMA VALORADO'!AZ23</f>
        <v>0</v>
      </c>
      <c r="BB36" s="419"/>
      <c r="BC36" s="419"/>
      <c r="BD36" s="419"/>
      <c r="BE36" s="413">
        <f t="shared" ref="BE36:BE44" si="7">+SUM(E36:BB36)</f>
        <v>-157766.47999999995</v>
      </c>
      <c r="BF36" s="398"/>
      <c r="BG36" s="421">
        <f t="shared" si="6"/>
        <v>-157766.48000000001</v>
      </c>
      <c r="BH36" s="398"/>
      <c r="BI36" s="191" t="b">
        <f t="shared" si="4"/>
        <v>1</v>
      </c>
    </row>
    <row r="37" spans="1:62" ht="15" customHeight="1">
      <c r="A37" s="419" t="s">
        <v>95</v>
      </c>
      <c r="B37" s="435"/>
      <c r="C37" s="436">
        <f>-('PRESUPUESTO GENERAL'!H11)</f>
        <v>-383476.36</v>
      </c>
      <c r="D37" s="422">
        <f t="shared" si="5"/>
        <v>-383476.36</v>
      </c>
      <c r="E37" s="437">
        <v>0</v>
      </c>
      <c r="F37" s="419"/>
      <c r="G37" s="419">
        <f>-'CRONOGRAMA VALORADO'!F9</f>
        <v>-28460.887899500001</v>
      </c>
      <c r="H37" s="419">
        <f>-'CRONOGRAMA VALORADO'!G9</f>
        <v>-28460.887899500001</v>
      </c>
      <c r="I37" s="419">
        <f>-'CRONOGRAMA VALORADO'!H9</f>
        <v>-31987.315399499999</v>
      </c>
      <c r="J37" s="419">
        <f>-'CRONOGRAMA VALORADO'!I9</f>
        <v>-31987.315399499999</v>
      </c>
      <c r="K37" s="419">
        <f>-'CRONOGRAMA VALORADO'!J9</f>
        <v>-21812.5292393333</v>
      </c>
      <c r="L37" s="419">
        <f>-'CRONOGRAMA VALORADO'!K9</f>
        <v>-21812.5292393333</v>
      </c>
      <c r="M37" s="419">
        <f>-'CRONOGRAMA VALORADO'!L9</f>
        <v>-21812.5292393333</v>
      </c>
      <c r="N37" s="419">
        <f>-'CRONOGRAMA VALORADO'!M9</f>
        <v>-9516.9821580000007</v>
      </c>
      <c r="O37" s="419">
        <f>-'CRONOGRAMA VALORADO'!N9</f>
        <v>-9516.9821580000007</v>
      </c>
      <c r="P37" s="419">
        <f>-'CRONOGRAMA VALORADO'!O9</f>
        <v>-11798.420684000001</v>
      </c>
      <c r="Q37" s="419">
        <f>-'CRONOGRAMA VALORADO'!P9</f>
        <v>-11798.420684000001</v>
      </c>
      <c r="R37" s="419">
        <f>-'CRONOGRAMA VALORADO'!Q9</f>
        <v>-10810.29</v>
      </c>
      <c r="S37" s="419">
        <f>-'CRONOGRAMA VALORADO'!R9</f>
        <v>-30757.067917</v>
      </c>
      <c r="T37" s="419">
        <f>-'CRONOGRAMA VALORADO'!S9</f>
        <v>-41136.815914999999</v>
      </c>
      <c r="U37" s="419">
        <f>-'CRONOGRAMA VALORADO'!T9</f>
        <v>-25003.069663999999</v>
      </c>
      <c r="V37" s="419">
        <f>-'CRONOGRAMA VALORADO'!U9</f>
        <v>-23044.671266000001</v>
      </c>
      <c r="W37" s="419">
        <f>-'CRONOGRAMA VALORADO'!V9</f>
        <v>-10328.842762</v>
      </c>
      <c r="X37" s="419">
        <f>-'CRONOGRAMA VALORADO'!W9</f>
        <v>-13430.802476000001</v>
      </c>
      <c r="Y37" s="419">
        <f>-'CRONOGRAMA VALORADO'!X9</f>
        <v>0</v>
      </c>
      <c r="Z37" s="419">
        <f>-'CRONOGRAMA VALORADO'!Y9</f>
        <v>0</v>
      </c>
      <c r="AA37" s="419">
        <f>-'CRONOGRAMA VALORADO'!Z9</f>
        <v>0</v>
      </c>
      <c r="AB37" s="419">
        <f>-'CRONOGRAMA VALORADO'!AA9</f>
        <v>0</v>
      </c>
      <c r="AC37" s="419">
        <f>+'CRONOGRAMA VALORADO'!AB24</f>
        <v>0</v>
      </c>
      <c r="AD37" s="419">
        <f>+'CRONOGRAMA VALORADO'!AC24</f>
        <v>0</v>
      </c>
      <c r="AE37" s="419">
        <f>+'CRONOGRAMA VALORADO'!AD24</f>
        <v>0</v>
      </c>
      <c r="AF37" s="419">
        <f>+'CRONOGRAMA VALORADO'!AE24</f>
        <v>0</v>
      </c>
      <c r="AG37" s="419">
        <f>+'CRONOGRAMA VALORADO'!AF24</f>
        <v>0</v>
      </c>
      <c r="AH37" s="419">
        <f>+'CRONOGRAMA VALORADO'!AG24</f>
        <v>0</v>
      </c>
      <c r="AI37" s="419">
        <f>+'CRONOGRAMA VALORADO'!AH24</f>
        <v>0</v>
      </c>
      <c r="AJ37" s="419">
        <f>+'CRONOGRAMA VALORADO'!AI24</f>
        <v>0</v>
      </c>
      <c r="AK37" s="419">
        <f>+'CRONOGRAMA VALORADO'!AJ24</f>
        <v>0</v>
      </c>
      <c r="AL37" s="419">
        <f>+'CRONOGRAMA VALORADO'!AK24</f>
        <v>0</v>
      </c>
      <c r="AM37" s="419">
        <f>+'CRONOGRAMA VALORADO'!AL24</f>
        <v>0</v>
      </c>
      <c r="AN37" s="419">
        <f>+'CRONOGRAMA VALORADO'!AM24</f>
        <v>0</v>
      </c>
      <c r="AO37" s="419">
        <f>+'CRONOGRAMA VALORADO'!AN24</f>
        <v>0</v>
      </c>
      <c r="AP37" s="419">
        <f>+'CRONOGRAMA VALORADO'!AO24</f>
        <v>0</v>
      </c>
      <c r="AQ37" s="419">
        <f>+'CRONOGRAMA VALORADO'!AP24</f>
        <v>0</v>
      </c>
      <c r="AR37" s="419">
        <f>+'CRONOGRAMA VALORADO'!AQ24</f>
        <v>0</v>
      </c>
      <c r="AS37" s="419">
        <f>+'CRONOGRAMA VALORADO'!AR24</f>
        <v>0</v>
      </c>
      <c r="AT37" s="419">
        <f>+'CRONOGRAMA VALORADO'!AS24</f>
        <v>0</v>
      </c>
      <c r="AU37" s="419">
        <f>+'CRONOGRAMA VALORADO'!AT24</f>
        <v>0</v>
      </c>
      <c r="AV37" s="419">
        <f>+'CRONOGRAMA VALORADO'!AU24</f>
        <v>0</v>
      </c>
      <c r="AW37" s="419">
        <f>+'CRONOGRAMA VALORADO'!AV24</f>
        <v>0</v>
      </c>
      <c r="AX37" s="419">
        <f>+'CRONOGRAMA VALORADO'!AW24</f>
        <v>0</v>
      </c>
      <c r="AY37" s="419">
        <f>+'CRONOGRAMA VALORADO'!AX24</f>
        <v>0</v>
      </c>
      <c r="AZ37" s="419">
        <f>+'CRONOGRAMA VALORADO'!AY24</f>
        <v>0</v>
      </c>
      <c r="BA37" s="419">
        <f>+'CRONOGRAMA VALORADO'!AZ24</f>
        <v>0</v>
      </c>
      <c r="BB37" s="419"/>
      <c r="BC37" s="419"/>
      <c r="BD37" s="419"/>
      <c r="BE37" s="413">
        <f t="shared" si="7"/>
        <v>-383476.35999999987</v>
      </c>
      <c r="BF37" s="398"/>
      <c r="BG37" s="421">
        <f t="shared" si="6"/>
        <v>-383476.36</v>
      </c>
      <c r="BH37" s="398"/>
      <c r="BI37" s="191" t="b">
        <f t="shared" si="4"/>
        <v>1</v>
      </c>
    </row>
    <row r="38" spans="1:62" ht="15" customHeight="1">
      <c r="A38" s="419" t="s">
        <v>97</v>
      </c>
      <c r="B38" s="435"/>
      <c r="C38" s="436">
        <f>-('PRESUPUESTO GENERAL'!H12)</f>
        <v>-1206935.72</v>
      </c>
      <c r="D38" s="422">
        <f t="shared" si="5"/>
        <v>-1206935.72</v>
      </c>
      <c r="E38" s="437">
        <v>0</v>
      </c>
      <c r="F38" s="419"/>
      <c r="G38" s="419">
        <f>-'CRONOGRAMA VALORADO'!F11</f>
        <v>-77747.125130999993</v>
      </c>
      <c r="H38" s="419">
        <f>-'CRONOGRAMA VALORADO'!G11</f>
        <v>-77747.125130999993</v>
      </c>
      <c r="I38" s="419">
        <f>-'CRONOGRAMA VALORADO'!H11</f>
        <v>-100302.740131</v>
      </c>
      <c r="J38" s="419">
        <f>-'CRONOGRAMA VALORADO'!I11</f>
        <v>-100302.740131</v>
      </c>
      <c r="K38" s="419">
        <f>-'CRONOGRAMA VALORADO'!J11</f>
        <v>-74879.082766333406</v>
      </c>
      <c r="L38" s="419">
        <f>-'CRONOGRAMA VALORADO'!K11</f>
        <v>-74879.082766333406</v>
      </c>
      <c r="M38" s="419">
        <f>-'CRONOGRAMA VALORADO'!L11</f>
        <v>-74879.082766333406</v>
      </c>
      <c r="N38" s="419">
        <f>-'CRONOGRAMA VALORADO'!M11</f>
        <v>-27348.414411500002</v>
      </c>
      <c r="O38" s="419">
        <f>-'CRONOGRAMA VALORADO'!N11</f>
        <v>-27348.414411500002</v>
      </c>
      <c r="P38" s="419">
        <f>-'CRONOGRAMA VALORADO'!O11</f>
        <v>-38343.746177000001</v>
      </c>
      <c r="Q38" s="419">
        <f>-'CRONOGRAMA VALORADO'!P11</f>
        <v>-38343.746177000001</v>
      </c>
      <c r="R38" s="419">
        <f>-'CRONOGRAMA VALORADO'!Q11</f>
        <v>-34855.61</v>
      </c>
      <c r="S38" s="419">
        <f>-'CRONOGRAMA VALORADO'!R11</f>
        <v>-105871.10449</v>
      </c>
      <c r="T38" s="419">
        <f>-'CRONOGRAMA VALORADO'!S11</f>
        <v>-127418.760433</v>
      </c>
      <c r="U38" s="419">
        <f>-'CRONOGRAMA VALORADO'!T11</f>
        <v>-83429.546963000001</v>
      </c>
      <c r="V38" s="419">
        <f>-'CRONOGRAMA VALORADO'!U11</f>
        <v>-53511.793114</v>
      </c>
      <c r="W38" s="419">
        <f>-'CRONOGRAMA VALORADO'!V11</f>
        <v>-45632.58</v>
      </c>
      <c r="X38" s="419">
        <f>-'CRONOGRAMA VALORADO'!W11</f>
        <v>-44095.025000000001</v>
      </c>
      <c r="Y38" s="419">
        <f>-'CRONOGRAMA VALORADO'!X11</f>
        <v>0</v>
      </c>
      <c r="Z38" s="419">
        <f>-'CRONOGRAMA VALORADO'!Y11</f>
        <v>0</v>
      </c>
      <c r="AA38" s="419">
        <f>-'CRONOGRAMA VALORADO'!Z11</f>
        <v>0</v>
      </c>
      <c r="AB38" s="419">
        <f>-'CRONOGRAMA VALORADO'!AA11</f>
        <v>0</v>
      </c>
      <c r="AC38" s="419">
        <f>+'CRONOGRAMA VALORADO'!AB25</f>
        <v>0</v>
      </c>
      <c r="AD38" s="419">
        <f>+'CRONOGRAMA VALORADO'!AC25</f>
        <v>0</v>
      </c>
      <c r="AE38" s="419">
        <f>+'CRONOGRAMA VALORADO'!AD25</f>
        <v>0</v>
      </c>
      <c r="AF38" s="419">
        <f>+'CRONOGRAMA VALORADO'!AE25</f>
        <v>0</v>
      </c>
      <c r="AG38" s="419">
        <f>+'CRONOGRAMA VALORADO'!AF25</f>
        <v>0</v>
      </c>
      <c r="AH38" s="419">
        <f>+'CRONOGRAMA VALORADO'!AG25</f>
        <v>0</v>
      </c>
      <c r="AI38" s="419">
        <f>+'CRONOGRAMA VALORADO'!AH25</f>
        <v>0</v>
      </c>
      <c r="AJ38" s="419">
        <f>+'CRONOGRAMA VALORADO'!AI25</f>
        <v>0</v>
      </c>
      <c r="AK38" s="419">
        <f>+'CRONOGRAMA VALORADO'!AJ25</f>
        <v>0</v>
      </c>
      <c r="AL38" s="419">
        <f>+'CRONOGRAMA VALORADO'!AK25</f>
        <v>0</v>
      </c>
      <c r="AM38" s="419">
        <f>+'CRONOGRAMA VALORADO'!AL25</f>
        <v>0</v>
      </c>
      <c r="AN38" s="419">
        <f>+'CRONOGRAMA VALORADO'!AM25</f>
        <v>0</v>
      </c>
      <c r="AO38" s="419">
        <f>+'CRONOGRAMA VALORADO'!AN25</f>
        <v>0</v>
      </c>
      <c r="AP38" s="419">
        <f>+'CRONOGRAMA VALORADO'!AO25</f>
        <v>0</v>
      </c>
      <c r="AQ38" s="419">
        <f>+'CRONOGRAMA VALORADO'!AP25</f>
        <v>0</v>
      </c>
      <c r="AR38" s="419">
        <f>+'CRONOGRAMA VALORADO'!AQ25</f>
        <v>0</v>
      </c>
      <c r="AS38" s="419">
        <f>+'CRONOGRAMA VALORADO'!AR25</f>
        <v>0</v>
      </c>
      <c r="AT38" s="419">
        <f>+'CRONOGRAMA VALORADO'!AS25</f>
        <v>0</v>
      </c>
      <c r="AU38" s="419">
        <f>+'CRONOGRAMA VALORADO'!AT25</f>
        <v>0</v>
      </c>
      <c r="AV38" s="419">
        <f>+'CRONOGRAMA VALORADO'!AU25</f>
        <v>0</v>
      </c>
      <c r="AW38" s="419">
        <f>+'CRONOGRAMA VALORADO'!AV25</f>
        <v>0</v>
      </c>
      <c r="AX38" s="419">
        <f>+'CRONOGRAMA VALORADO'!AW25</f>
        <v>0</v>
      </c>
      <c r="AY38" s="419">
        <f>+'CRONOGRAMA VALORADO'!AX25</f>
        <v>0</v>
      </c>
      <c r="AZ38" s="419">
        <f>+'CRONOGRAMA VALORADO'!AY25</f>
        <v>0</v>
      </c>
      <c r="BA38" s="419">
        <f>+'CRONOGRAMA VALORADO'!AZ25</f>
        <v>0</v>
      </c>
      <c r="BB38" s="419"/>
      <c r="BC38" s="419"/>
      <c r="BD38" s="419"/>
      <c r="BE38" s="413">
        <f t="shared" si="7"/>
        <v>-1206935.7200000002</v>
      </c>
      <c r="BF38" s="398"/>
      <c r="BG38" s="421">
        <f t="shared" si="6"/>
        <v>-1206935.72</v>
      </c>
      <c r="BH38" s="398"/>
      <c r="BI38" s="191" t="b">
        <f t="shared" si="4"/>
        <v>1</v>
      </c>
    </row>
    <row r="39" spans="1:62" ht="15" customHeight="1">
      <c r="A39" s="419" t="s">
        <v>99</v>
      </c>
      <c r="B39" s="435"/>
      <c r="C39" s="436">
        <f>-('PRESUPUESTO GENERAL'!H13)</f>
        <v>-972789.99</v>
      </c>
      <c r="D39" s="422">
        <f t="shared" si="5"/>
        <v>-972789.99</v>
      </c>
      <c r="E39" s="437">
        <v>0</v>
      </c>
      <c r="F39" s="419"/>
      <c r="G39" s="419">
        <f>-'CRONOGRAMA VALORADO'!F13</f>
        <v>-37336.898926000002</v>
      </c>
      <c r="H39" s="419">
        <f>-'CRONOGRAMA VALORADO'!G13</f>
        <v>-37336.898926000002</v>
      </c>
      <c r="I39" s="419">
        <f>-'CRONOGRAMA VALORADO'!H13</f>
        <v>-72625.585175999993</v>
      </c>
      <c r="J39" s="419">
        <f>-'CRONOGRAMA VALORADO'!I13</f>
        <v>-72625.585175999993</v>
      </c>
      <c r="K39" s="419">
        <f>-'CRONOGRAMA VALORADO'!J13</f>
        <v>-49242.327139666697</v>
      </c>
      <c r="L39" s="419">
        <f>-'CRONOGRAMA VALORADO'!K13</f>
        <v>-49242.327139666697</v>
      </c>
      <c r="M39" s="419">
        <f>-'CRONOGRAMA VALORADO'!L13</f>
        <v>-49242.327139666697</v>
      </c>
      <c r="N39" s="419">
        <f>-'CRONOGRAMA VALORADO'!M13</f>
        <v>-19049.8185615</v>
      </c>
      <c r="O39" s="419">
        <f>-'CRONOGRAMA VALORADO'!N13</f>
        <v>-19049.8185615</v>
      </c>
      <c r="P39" s="419">
        <f>-'CRONOGRAMA VALORADO'!O13</f>
        <v>-30151.221626999999</v>
      </c>
      <c r="Q39" s="419">
        <f>-'CRONOGRAMA VALORADO'!P13</f>
        <v>-30151.221626999999</v>
      </c>
      <c r="R39" s="419">
        <f>-'CRONOGRAMA VALORADO'!Q13</f>
        <v>-30364.82</v>
      </c>
      <c r="S39" s="419">
        <f>-'CRONOGRAMA VALORADO'!R13</f>
        <v>-101956.048563</v>
      </c>
      <c r="T39" s="419">
        <f>-'CRONOGRAMA VALORADO'!S13</f>
        <v>-116241.888293</v>
      </c>
      <c r="U39" s="419">
        <f>-'CRONOGRAMA VALORADO'!T13</f>
        <v>-72295.962604</v>
      </c>
      <c r="V39" s="419">
        <f>-'CRONOGRAMA VALORADO'!U13</f>
        <v>-85613.148585999996</v>
      </c>
      <c r="W39" s="419">
        <f>-'CRONOGRAMA VALORADO'!V13</f>
        <v>-56038.476046000003</v>
      </c>
      <c r="X39" s="419">
        <f>-'CRONOGRAMA VALORADO'!W13</f>
        <v>-44225.615908</v>
      </c>
      <c r="Y39" s="419">
        <f>-'CRONOGRAMA VALORADO'!X13</f>
        <v>0</v>
      </c>
      <c r="Z39" s="419">
        <f>-'CRONOGRAMA VALORADO'!Y13</f>
        <v>0</v>
      </c>
      <c r="AA39" s="419">
        <f>-'CRONOGRAMA VALORADO'!Z13</f>
        <v>0</v>
      </c>
      <c r="AB39" s="419">
        <f>-'CRONOGRAMA VALORADO'!AA13</f>
        <v>0</v>
      </c>
      <c r="AC39" s="419">
        <f>+'CRONOGRAMA VALORADO'!AB26</f>
        <v>0</v>
      </c>
      <c r="AD39" s="419">
        <f>+'CRONOGRAMA VALORADO'!AC26</f>
        <v>0</v>
      </c>
      <c r="AE39" s="419">
        <f>+'CRONOGRAMA VALORADO'!AD26</f>
        <v>0</v>
      </c>
      <c r="AF39" s="419">
        <f>+'CRONOGRAMA VALORADO'!AE26</f>
        <v>0</v>
      </c>
      <c r="AG39" s="419">
        <f>+'CRONOGRAMA VALORADO'!AF26</f>
        <v>0</v>
      </c>
      <c r="AH39" s="419">
        <f>+'CRONOGRAMA VALORADO'!AG26</f>
        <v>0</v>
      </c>
      <c r="AI39" s="419">
        <f>+'CRONOGRAMA VALORADO'!AH26</f>
        <v>0</v>
      </c>
      <c r="AJ39" s="419">
        <f>+'CRONOGRAMA VALORADO'!AI26</f>
        <v>0</v>
      </c>
      <c r="AK39" s="419">
        <f>+'CRONOGRAMA VALORADO'!AJ26</f>
        <v>0</v>
      </c>
      <c r="AL39" s="419">
        <f>+'CRONOGRAMA VALORADO'!AK26</f>
        <v>0</v>
      </c>
      <c r="AM39" s="419">
        <f>+'CRONOGRAMA VALORADO'!AL26</f>
        <v>0</v>
      </c>
      <c r="AN39" s="419">
        <f>+'CRONOGRAMA VALORADO'!AM26</f>
        <v>0</v>
      </c>
      <c r="AO39" s="419">
        <f>+'CRONOGRAMA VALORADO'!AN26</f>
        <v>0</v>
      </c>
      <c r="AP39" s="419">
        <f>+'CRONOGRAMA VALORADO'!AO26</f>
        <v>0</v>
      </c>
      <c r="AQ39" s="419">
        <f>+'CRONOGRAMA VALORADO'!AP26</f>
        <v>0</v>
      </c>
      <c r="AR39" s="419">
        <f>+'CRONOGRAMA VALORADO'!AQ26</f>
        <v>0</v>
      </c>
      <c r="AS39" s="419">
        <f>+'CRONOGRAMA VALORADO'!AR26</f>
        <v>0</v>
      </c>
      <c r="AT39" s="419">
        <f>+'CRONOGRAMA VALORADO'!AS26</f>
        <v>0</v>
      </c>
      <c r="AU39" s="419">
        <f>+'CRONOGRAMA VALORADO'!AT26</f>
        <v>0</v>
      </c>
      <c r="AV39" s="419">
        <f>+'CRONOGRAMA VALORADO'!AU26</f>
        <v>0</v>
      </c>
      <c r="AW39" s="419">
        <f>+'CRONOGRAMA VALORADO'!AV26</f>
        <v>0</v>
      </c>
      <c r="AX39" s="419">
        <f>+'CRONOGRAMA VALORADO'!AW26</f>
        <v>0</v>
      </c>
      <c r="AY39" s="419">
        <f>+'CRONOGRAMA VALORADO'!AX26</f>
        <v>0</v>
      </c>
      <c r="AZ39" s="419">
        <f>+'CRONOGRAMA VALORADO'!AY26</f>
        <v>0</v>
      </c>
      <c r="BA39" s="419">
        <f>+'CRONOGRAMA VALORADO'!AZ26</f>
        <v>0</v>
      </c>
      <c r="BB39" s="419"/>
      <c r="BC39" s="419"/>
      <c r="BD39" s="419"/>
      <c r="BE39" s="413">
        <f t="shared" si="7"/>
        <v>-972789.99000000011</v>
      </c>
      <c r="BF39" s="398"/>
      <c r="BG39" s="421">
        <f t="shared" si="6"/>
        <v>-972789.99</v>
      </c>
      <c r="BH39" s="398"/>
      <c r="BI39" s="191" t="b">
        <f t="shared" si="4"/>
        <v>1</v>
      </c>
    </row>
    <row r="40" spans="1:62" ht="15" customHeight="1">
      <c r="A40" s="419" t="s">
        <v>46</v>
      </c>
      <c r="B40" s="435"/>
      <c r="C40" s="436">
        <f>-'PRESUPUESTO GENERAL'!H14</f>
        <v>-149460.04999999999</v>
      </c>
      <c r="D40" s="422">
        <f t="shared" si="5"/>
        <v>-149460.04999999999</v>
      </c>
      <c r="E40" s="437">
        <v>0</v>
      </c>
      <c r="F40" s="419"/>
      <c r="G40" s="419">
        <f>-'CRONOGRAMA VALORADO'!F25</f>
        <v>-16179.692844499999</v>
      </c>
      <c r="H40" s="419">
        <f>-'CRONOGRAMA VALORADO'!G25</f>
        <v>-16179.692844499999</v>
      </c>
      <c r="I40" s="419">
        <f>-'CRONOGRAMA VALORADO'!H25</f>
        <v>-26643.7928445</v>
      </c>
      <c r="J40" s="419">
        <f>-'CRONOGRAMA VALORADO'!I25</f>
        <v>-26643.7928445</v>
      </c>
      <c r="K40" s="419">
        <f>-'CRONOGRAMA VALORADO'!J25</f>
        <v>-8745.9428740000003</v>
      </c>
      <c r="L40" s="419">
        <f>-'CRONOGRAMA VALORADO'!K25</f>
        <v>-8745.9428740000003</v>
      </c>
      <c r="M40" s="419">
        <f>-'CRONOGRAMA VALORADO'!L25</f>
        <v>-8745.9428740000003</v>
      </c>
      <c r="N40" s="419">
        <f>-'CRONOGRAMA VALORADO'!M25</f>
        <v>-2075.91</v>
      </c>
      <c r="O40" s="419">
        <f>-'CRONOGRAMA VALORADO'!N25</f>
        <v>-2075.91</v>
      </c>
      <c r="P40" s="419">
        <f>-'CRONOGRAMA VALORADO'!O25</f>
        <v>-1893.65</v>
      </c>
      <c r="Q40" s="419">
        <f>-'CRONOGRAMA VALORADO'!P25</f>
        <v>-1893.65</v>
      </c>
      <c r="R40" s="419">
        <f>-'CRONOGRAMA VALORADO'!Q25</f>
        <v>-807.64</v>
      </c>
      <c r="S40" s="419">
        <f>-'CRONOGRAMA VALORADO'!R25</f>
        <v>-13794.385</v>
      </c>
      <c r="T40" s="419">
        <f>-'CRONOGRAMA VALORADO'!S25</f>
        <v>-12164.465</v>
      </c>
      <c r="U40" s="419">
        <f>-'CRONOGRAMA VALORADO'!T25</f>
        <v>-1379.12</v>
      </c>
      <c r="V40" s="419">
        <f>-'CRONOGRAMA VALORADO'!U25</f>
        <v>0</v>
      </c>
      <c r="W40" s="419">
        <f>-'CRONOGRAMA VALORADO'!V25</f>
        <v>-1490.52</v>
      </c>
      <c r="X40" s="419">
        <f>-'CRONOGRAMA VALORADO'!W25</f>
        <v>0</v>
      </c>
      <c r="Y40" s="419">
        <f>-'CRONOGRAMA VALORADO'!X25</f>
        <v>0</v>
      </c>
      <c r="Z40" s="419">
        <f>-'CRONOGRAMA VALORADO'!Y25</f>
        <v>0</v>
      </c>
      <c r="AA40" s="419">
        <f>-'CRONOGRAMA VALORADO'!Z25</f>
        <v>0</v>
      </c>
      <c r="AB40" s="419">
        <f>-'CRONOGRAMA VALORADO'!AA25</f>
        <v>0</v>
      </c>
      <c r="AC40" s="419">
        <f>+'CRONOGRAMA VALORADO'!AB27</f>
        <v>0</v>
      </c>
      <c r="AD40" s="419">
        <f>+'CRONOGRAMA VALORADO'!AC27</f>
        <v>0</v>
      </c>
      <c r="AE40" s="419">
        <f>+'CRONOGRAMA VALORADO'!AD27</f>
        <v>0</v>
      </c>
      <c r="AF40" s="419">
        <f>+'CRONOGRAMA VALORADO'!AE27</f>
        <v>0</v>
      </c>
      <c r="AG40" s="419">
        <f>+'CRONOGRAMA VALORADO'!AF27</f>
        <v>0</v>
      </c>
      <c r="AH40" s="419">
        <f>+'CRONOGRAMA VALORADO'!AG27</f>
        <v>0</v>
      </c>
      <c r="AI40" s="419">
        <f>+'CRONOGRAMA VALORADO'!AH27</f>
        <v>0</v>
      </c>
      <c r="AJ40" s="419">
        <f>+'CRONOGRAMA VALORADO'!AI27</f>
        <v>0</v>
      </c>
      <c r="AK40" s="419">
        <f>+'CRONOGRAMA VALORADO'!AJ27</f>
        <v>0</v>
      </c>
      <c r="AL40" s="419">
        <f>+'CRONOGRAMA VALORADO'!AK27</f>
        <v>0</v>
      </c>
      <c r="AM40" s="419">
        <f>+'CRONOGRAMA VALORADO'!AL27</f>
        <v>0</v>
      </c>
      <c r="AN40" s="419">
        <f>+'CRONOGRAMA VALORADO'!AM27</f>
        <v>0</v>
      </c>
      <c r="AO40" s="419">
        <f>+'CRONOGRAMA VALORADO'!AN27</f>
        <v>0</v>
      </c>
      <c r="AP40" s="419">
        <f>+'CRONOGRAMA VALORADO'!AO27</f>
        <v>0</v>
      </c>
      <c r="AQ40" s="419">
        <f>+'CRONOGRAMA VALORADO'!AP27</f>
        <v>0</v>
      </c>
      <c r="AR40" s="419">
        <f>+'CRONOGRAMA VALORADO'!AQ27</f>
        <v>0</v>
      </c>
      <c r="AS40" s="419">
        <f>+'CRONOGRAMA VALORADO'!AR27</f>
        <v>0</v>
      </c>
      <c r="AT40" s="419">
        <f>+'CRONOGRAMA VALORADO'!AS27</f>
        <v>0</v>
      </c>
      <c r="AU40" s="419">
        <f>+'CRONOGRAMA VALORADO'!AT27</f>
        <v>0</v>
      </c>
      <c r="AV40" s="419">
        <f>+'CRONOGRAMA VALORADO'!AU27</f>
        <v>0</v>
      </c>
      <c r="AW40" s="419">
        <f>+'CRONOGRAMA VALORADO'!AV27</f>
        <v>0</v>
      </c>
      <c r="AX40" s="419">
        <f>+'CRONOGRAMA VALORADO'!AW27</f>
        <v>0</v>
      </c>
      <c r="AY40" s="419">
        <f>+'CRONOGRAMA VALORADO'!AX27</f>
        <v>0</v>
      </c>
      <c r="AZ40" s="419">
        <f>+'CRONOGRAMA VALORADO'!AY27</f>
        <v>0</v>
      </c>
      <c r="BA40" s="419">
        <f>+'CRONOGRAMA VALORADO'!AZ27</f>
        <v>0</v>
      </c>
      <c r="BB40" s="419"/>
      <c r="BC40" s="419"/>
      <c r="BD40" s="419"/>
      <c r="BE40" s="413">
        <f t="shared" si="7"/>
        <v>-149460.04999999999</v>
      </c>
      <c r="BF40" s="398"/>
      <c r="BG40" s="421">
        <f t="shared" si="6"/>
        <v>-149460.04999999999</v>
      </c>
      <c r="BH40" s="398"/>
      <c r="BI40" s="191" t="b">
        <f t="shared" si="4"/>
        <v>1</v>
      </c>
    </row>
    <row r="41" spans="1:62" ht="15" customHeight="1">
      <c r="A41" s="419" t="s">
        <v>102</v>
      </c>
      <c r="B41" s="435"/>
      <c r="C41" s="436">
        <f>-'PRESUPUESTO GENERAL'!H15</f>
        <v>-164547.59</v>
      </c>
      <c r="D41" s="422">
        <f t="shared" si="5"/>
        <v>-164547.59</v>
      </c>
      <c r="E41" s="437">
        <v>0</v>
      </c>
      <c r="F41" s="419"/>
      <c r="G41" s="419">
        <f>-'CRONOGRAMA VALORADO'!F27</f>
        <v>-1370.27</v>
      </c>
      <c r="H41" s="419">
        <f>-'CRONOGRAMA VALORADO'!G27</f>
        <v>-1370.27</v>
      </c>
      <c r="I41" s="419">
        <f>-'CRONOGRAMA VALORADO'!H27</f>
        <v>-8311.6725000000006</v>
      </c>
      <c r="J41" s="419">
        <f>-'CRONOGRAMA VALORADO'!I27</f>
        <v>-8311.6725000000006</v>
      </c>
      <c r="K41" s="419">
        <f>-'CRONOGRAMA VALORADO'!J27</f>
        <v>-13193.0233333333</v>
      </c>
      <c r="L41" s="419">
        <f>-'CRONOGRAMA VALORADO'!K27</f>
        <v>-13193.0233333333</v>
      </c>
      <c r="M41" s="419">
        <f>-'CRONOGRAMA VALORADO'!L27</f>
        <v>-13193.0233333333</v>
      </c>
      <c r="N41" s="419">
        <f>-'CRONOGRAMA VALORADO'!M27</f>
        <v>-38183.252500000002</v>
      </c>
      <c r="O41" s="419">
        <f>-'CRONOGRAMA VALORADO'!N27</f>
        <v>-38183.252500000002</v>
      </c>
      <c r="P41" s="419">
        <f>-'CRONOGRAMA VALORADO'!O27</f>
        <v>-6659.41</v>
      </c>
      <c r="Q41" s="419">
        <f>-'CRONOGRAMA VALORADO'!P27</f>
        <v>-6659.41</v>
      </c>
      <c r="R41" s="419">
        <f>-'CRONOGRAMA VALORADO'!Q27</f>
        <v>-15919.31</v>
      </c>
      <c r="S41" s="419">
        <f>-'CRONOGRAMA VALORADO'!R27</f>
        <v>0</v>
      </c>
      <c r="T41" s="419">
        <f>-'CRONOGRAMA VALORADO'!S27</f>
        <v>0</v>
      </c>
      <c r="U41" s="419">
        <f>-'CRONOGRAMA VALORADO'!T27</f>
        <v>0</v>
      </c>
      <c r="V41" s="419">
        <f>-'CRONOGRAMA VALORADO'!U27</f>
        <v>0</v>
      </c>
      <c r="W41" s="419">
        <f>-'CRONOGRAMA VALORADO'!V27</f>
        <v>0</v>
      </c>
      <c r="X41" s="419">
        <f>-'CRONOGRAMA VALORADO'!W27</f>
        <v>0</v>
      </c>
      <c r="Y41" s="419">
        <f>-'CRONOGRAMA VALORADO'!X27</f>
        <v>0</v>
      </c>
      <c r="Z41" s="419">
        <f>-'CRONOGRAMA VALORADO'!Y27</f>
        <v>0</v>
      </c>
      <c r="AA41" s="419">
        <f>-'CRONOGRAMA VALORADO'!Z27</f>
        <v>0</v>
      </c>
      <c r="AB41" s="419">
        <f>-'CRONOGRAMA VALORADO'!AA27</f>
        <v>0</v>
      </c>
      <c r="AC41" s="419">
        <f>+'CRONOGRAMA VALORADO'!AB28</f>
        <v>0</v>
      </c>
      <c r="AD41" s="419">
        <f>+'CRONOGRAMA VALORADO'!AC28</f>
        <v>0</v>
      </c>
      <c r="AE41" s="419">
        <f>+'CRONOGRAMA VALORADO'!AD28</f>
        <v>0</v>
      </c>
      <c r="AF41" s="419">
        <f>+'CRONOGRAMA VALORADO'!AE28</f>
        <v>0</v>
      </c>
      <c r="AG41" s="419">
        <f>+'CRONOGRAMA VALORADO'!AF28</f>
        <v>0</v>
      </c>
      <c r="AH41" s="419">
        <f>+'CRONOGRAMA VALORADO'!AG28</f>
        <v>0</v>
      </c>
      <c r="AI41" s="419">
        <f>+'CRONOGRAMA VALORADO'!AH28</f>
        <v>0</v>
      </c>
      <c r="AJ41" s="419">
        <f>+'CRONOGRAMA VALORADO'!AI28</f>
        <v>0</v>
      </c>
      <c r="AK41" s="419">
        <f>+'CRONOGRAMA VALORADO'!AJ28</f>
        <v>0</v>
      </c>
      <c r="AL41" s="419">
        <f>+'CRONOGRAMA VALORADO'!AK28</f>
        <v>0</v>
      </c>
      <c r="AM41" s="419">
        <f>+'CRONOGRAMA VALORADO'!AL28</f>
        <v>0</v>
      </c>
      <c r="AN41" s="419">
        <f>+'CRONOGRAMA VALORADO'!AM28</f>
        <v>0</v>
      </c>
      <c r="AO41" s="419">
        <f>+'CRONOGRAMA VALORADO'!AN28</f>
        <v>0</v>
      </c>
      <c r="AP41" s="419">
        <f>+'CRONOGRAMA VALORADO'!AO28</f>
        <v>0</v>
      </c>
      <c r="AQ41" s="419">
        <f>+'CRONOGRAMA VALORADO'!AP28</f>
        <v>0</v>
      </c>
      <c r="AR41" s="419">
        <f>+'CRONOGRAMA VALORADO'!AQ28</f>
        <v>0</v>
      </c>
      <c r="AS41" s="419">
        <f>+'CRONOGRAMA VALORADO'!AR28</f>
        <v>0</v>
      </c>
      <c r="AT41" s="419">
        <f>+'CRONOGRAMA VALORADO'!AS28</f>
        <v>0</v>
      </c>
      <c r="AU41" s="419">
        <f>+'CRONOGRAMA VALORADO'!AT28</f>
        <v>0</v>
      </c>
      <c r="AV41" s="419">
        <f>+'CRONOGRAMA VALORADO'!AU28</f>
        <v>0</v>
      </c>
      <c r="AW41" s="419">
        <f>+'CRONOGRAMA VALORADO'!AV28</f>
        <v>0</v>
      </c>
      <c r="AX41" s="419">
        <f>+'CRONOGRAMA VALORADO'!AW28</f>
        <v>0</v>
      </c>
      <c r="AY41" s="419">
        <f>+'CRONOGRAMA VALORADO'!AX28</f>
        <v>0</v>
      </c>
      <c r="AZ41" s="419">
        <f>+'CRONOGRAMA VALORADO'!AY28</f>
        <v>0</v>
      </c>
      <c r="BA41" s="419">
        <f>+'CRONOGRAMA VALORADO'!AZ28</f>
        <v>0</v>
      </c>
      <c r="BB41" s="419"/>
      <c r="BC41" s="419"/>
      <c r="BD41" s="419"/>
      <c r="BE41" s="413">
        <f t="shared" si="7"/>
        <v>-164547.58999999991</v>
      </c>
      <c r="BF41" s="398"/>
      <c r="BG41" s="421">
        <f t="shared" si="6"/>
        <v>-164547.59</v>
      </c>
      <c r="BH41" s="398"/>
      <c r="BI41" s="191" t="b">
        <f t="shared" si="4"/>
        <v>1</v>
      </c>
    </row>
    <row r="42" spans="1:62" ht="15" customHeight="1">
      <c r="A42" s="419" t="s">
        <v>105</v>
      </c>
      <c r="B42" s="435"/>
      <c r="C42" s="436">
        <f>-'PRESUPUESTO GENERAL'!H16</f>
        <v>-100463.91</v>
      </c>
      <c r="D42" s="422">
        <f t="shared" si="5"/>
        <v>-100463.91</v>
      </c>
      <c r="E42" s="437">
        <v>0</v>
      </c>
      <c r="F42" s="419"/>
      <c r="G42" s="419">
        <f>-'CRONOGRAMA VALORADO'!F29</f>
        <v>0</v>
      </c>
      <c r="H42" s="419">
        <f>-'CRONOGRAMA VALORADO'!G29</f>
        <v>0</v>
      </c>
      <c r="I42" s="419">
        <f>-'CRONOGRAMA VALORADO'!H29</f>
        <v>0</v>
      </c>
      <c r="J42" s="419">
        <f>-'CRONOGRAMA VALORADO'!I29</f>
        <v>0</v>
      </c>
      <c r="K42" s="419">
        <f>-'CRONOGRAMA VALORADO'!J29</f>
        <v>0</v>
      </c>
      <c r="L42" s="419">
        <f>-'CRONOGRAMA VALORADO'!K29</f>
        <v>0</v>
      </c>
      <c r="M42" s="419">
        <f>-'CRONOGRAMA VALORADO'!L29</f>
        <v>0</v>
      </c>
      <c r="N42" s="419">
        <f>-'CRONOGRAMA VALORADO'!M29</f>
        <v>-6549.3950000000004</v>
      </c>
      <c r="O42" s="419">
        <f>-'CRONOGRAMA VALORADO'!N29</f>
        <v>-6549.3950000000004</v>
      </c>
      <c r="P42" s="419">
        <f>-'CRONOGRAMA VALORADO'!O29</f>
        <v>-17033.654999999999</v>
      </c>
      <c r="Q42" s="419">
        <f>-'CRONOGRAMA VALORADO'!P29</f>
        <v>-17033.654999999999</v>
      </c>
      <c r="R42" s="419">
        <f>-'CRONOGRAMA VALORADO'!Q29</f>
        <v>-38222.239999999998</v>
      </c>
      <c r="S42" s="419">
        <f>-'CRONOGRAMA VALORADO'!R29</f>
        <v>-6062.29</v>
      </c>
      <c r="T42" s="419">
        <f>-'CRONOGRAMA VALORADO'!S29</f>
        <v>-9013.2800000000007</v>
      </c>
      <c r="U42" s="419">
        <f>-'CRONOGRAMA VALORADO'!T29</f>
        <v>0</v>
      </c>
      <c r="V42" s="419">
        <f>-'CRONOGRAMA VALORADO'!U29</f>
        <v>0</v>
      </c>
      <c r="W42" s="419">
        <f>-'CRONOGRAMA VALORADO'!V29</f>
        <v>0</v>
      </c>
      <c r="X42" s="419">
        <f>-'CRONOGRAMA VALORADO'!W29</f>
        <v>0</v>
      </c>
      <c r="Y42" s="419">
        <f>-'CRONOGRAMA VALORADO'!X29</f>
        <v>0</v>
      </c>
      <c r="Z42" s="419">
        <f>-'CRONOGRAMA VALORADO'!Y29</f>
        <v>0</v>
      </c>
      <c r="AA42" s="419">
        <f>-'CRONOGRAMA VALORADO'!Z29</f>
        <v>0</v>
      </c>
      <c r="AB42" s="419">
        <f>-'CRONOGRAMA VALORADO'!AA29</f>
        <v>0</v>
      </c>
      <c r="AC42" s="419">
        <f>+'CRONOGRAMA VALORADO'!AB29</f>
        <v>0</v>
      </c>
      <c r="AD42" s="419">
        <f>+'CRONOGRAMA VALORADO'!AC29</f>
        <v>0</v>
      </c>
      <c r="AE42" s="419">
        <f>+'CRONOGRAMA VALORADO'!AD29</f>
        <v>0</v>
      </c>
      <c r="AF42" s="419">
        <f>+'CRONOGRAMA VALORADO'!AE29</f>
        <v>0</v>
      </c>
      <c r="AG42" s="419">
        <f>+'CRONOGRAMA VALORADO'!AF29</f>
        <v>0</v>
      </c>
      <c r="AH42" s="419">
        <f>+'CRONOGRAMA VALORADO'!AG29</f>
        <v>0</v>
      </c>
      <c r="AI42" s="419">
        <f>+'CRONOGRAMA VALORADO'!AH29</f>
        <v>0</v>
      </c>
      <c r="AJ42" s="419">
        <f>+'CRONOGRAMA VALORADO'!AI29</f>
        <v>0</v>
      </c>
      <c r="AK42" s="419">
        <f>+'CRONOGRAMA VALORADO'!AJ29</f>
        <v>0</v>
      </c>
      <c r="AL42" s="419">
        <f>+'CRONOGRAMA VALORADO'!AK29</f>
        <v>0</v>
      </c>
      <c r="AM42" s="419">
        <f>+'CRONOGRAMA VALORADO'!AL29</f>
        <v>0</v>
      </c>
      <c r="AN42" s="419">
        <f>+'CRONOGRAMA VALORADO'!AM29</f>
        <v>0</v>
      </c>
      <c r="AO42" s="419">
        <f>+'CRONOGRAMA VALORADO'!AN29</f>
        <v>0</v>
      </c>
      <c r="AP42" s="419">
        <f>+'CRONOGRAMA VALORADO'!AO29</f>
        <v>0</v>
      </c>
      <c r="AQ42" s="419">
        <f>+'CRONOGRAMA VALORADO'!AP29</f>
        <v>0</v>
      </c>
      <c r="AR42" s="419">
        <f>+'CRONOGRAMA VALORADO'!AQ29</f>
        <v>0</v>
      </c>
      <c r="AS42" s="419">
        <f>+'CRONOGRAMA VALORADO'!AR29</f>
        <v>0</v>
      </c>
      <c r="AT42" s="419">
        <f>+'CRONOGRAMA VALORADO'!AS29</f>
        <v>0</v>
      </c>
      <c r="AU42" s="419">
        <f>+'CRONOGRAMA VALORADO'!AT29</f>
        <v>0</v>
      </c>
      <c r="AV42" s="419">
        <f>+'CRONOGRAMA VALORADO'!AU29</f>
        <v>0</v>
      </c>
      <c r="AW42" s="419">
        <f>+'CRONOGRAMA VALORADO'!AV29</f>
        <v>0</v>
      </c>
      <c r="AX42" s="419">
        <f>+'CRONOGRAMA VALORADO'!AW29</f>
        <v>0</v>
      </c>
      <c r="AY42" s="419">
        <f>+'CRONOGRAMA VALORADO'!AX29</f>
        <v>0</v>
      </c>
      <c r="AZ42" s="419">
        <f>+'CRONOGRAMA VALORADO'!AY29</f>
        <v>0</v>
      </c>
      <c r="BA42" s="419">
        <f>+'CRONOGRAMA VALORADO'!AZ29</f>
        <v>0</v>
      </c>
      <c r="BB42" s="419"/>
      <c r="BC42" s="419"/>
      <c r="BD42" s="419"/>
      <c r="BE42" s="413">
        <f t="shared" si="7"/>
        <v>-100463.90999999999</v>
      </c>
      <c r="BF42" s="398"/>
      <c r="BG42" s="421">
        <f t="shared" si="6"/>
        <v>-100463.91</v>
      </c>
      <c r="BH42" s="398"/>
      <c r="BI42" s="191" t="b">
        <f t="shared" si="4"/>
        <v>1</v>
      </c>
    </row>
    <row r="43" spans="1:62" ht="15" customHeight="1">
      <c r="A43" s="419" t="s">
        <v>107</v>
      </c>
      <c r="B43" s="435"/>
      <c r="C43" s="436">
        <f>-'PRESUPUESTO GENERAL'!H17</f>
        <v>-58513.94</v>
      </c>
      <c r="D43" s="422">
        <f t="shared" si="5"/>
        <v>-58513.94</v>
      </c>
      <c r="E43" s="437">
        <v>0</v>
      </c>
      <c r="F43" s="419"/>
      <c r="G43" s="419">
        <f>-'CRONOGRAMA VALORADO'!F31</f>
        <v>0</v>
      </c>
      <c r="H43" s="419">
        <f>-'CRONOGRAMA VALORADO'!G31</f>
        <v>0</v>
      </c>
      <c r="I43" s="419">
        <f>-'CRONOGRAMA VALORADO'!H31</f>
        <v>0</v>
      </c>
      <c r="J43" s="419">
        <f>-'CRONOGRAMA VALORADO'!I31</f>
        <v>0</v>
      </c>
      <c r="K43" s="419">
        <f>-'CRONOGRAMA VALORADO'!J31</f>
        <v>0</v>
      </c>
      <c r="L43" s="419">
        <f>-'CRONOGRAMA VALORADO'!K31</f>
        <v>0</v>
      </c>
      <c r="M43" s="419">
        <f>-'CRONOGRAMA VALORADO'!L31</f>
        <v>0</v>
      </c>
      <c r="N43" s="419">
        <f>-'CRONOGRAMA VALORADO'!M31</f>
        <v>-382.18</v>
      </c>
      <c r="O43" s="419">
        <f>-'CRONOGRAMA VALORADO'!N31</f>
        <v>-382.18</v>
      </c>
      <c r="P43" s="419">
        <f>-'CRONOGRAMA VALORADO'!O31</f>
        <v>-10091.1625</v>
      </c>
      <c r="Q43" s="419">
        <f>-'CRONOGRAMA VALORADO'!P31</f>
        <v>-10091.1625</v>
      </c>
      <c r="R43" s="419">
        <f>-'CRONOGRAMA VALORADO'!Q31</f>
        <v>-6507.1750000000002</v>
      </c>
      <c r="S43" s="419">
        <f>-'CRONOGRAMA VALORADO'!R31</f>
        <v>-853.65</v>
      </c>
      <c r="T43" s="419">
        <f>-'CRONOGRAMA VALORADO'!S31</f>
        <v>-1946.3</v>
      </c>
      <c r="U43" s="419">
        <f>-'CRONOGRAMA VALORADO'!T31</f>
        <v>-12331.89</v>
      </c>
      <c r="V43" s="419">
        <f>-'CRONOGRAMA VALORADO'!U31</f>
        <v>0</v>
      </c>
      <c r="W43" s="419">
        <f>-'CRONOGRAMA VALORADO'!V31</f>
        <v>-11499.11</v>
      </c>
      <c r="X43" s="419">
        <f>-'CRONOGRAMA VALORADO'!W31</f>
        <v>-4429.13</v>
      </c>
      <c r="Y43" s="419">
        <f>-'CRONOGRAMA VALORADO'!X31</f>
        <v>0</v>
      </c>
      <c r="Z43" s="419">
        <f>-'CRONOGRAMA VALORADO'!Y31</f>
        <v>0</v>
      </c>
      <c r="AA43" s="419">
        <f>-'CRONOGRAMA VALORADO'!Z31</f>
        <v>0</v>
      </c>
      <c r="AB43" s="419">
        <f>-'CRONOGRAMA VALORADO'!AA31</f>
        <v>0</v>
      </c>
      <c r="AC43" s="419">
        <f>+'CRONOGRAMA VALORADO'!AB30</f>
        <v>0</v>
      </c>
      <c r="AD43" s="419">
        <f>+'CRONOGRAMA VALORADO'!AC30</f>
        <v>0</v>
      </c>
      <c r="AE43" s="419">
        <f>+'CRONOGRAMA VALORADO'!AD30</f>
        <v>0</v>
      </c>
      <c r="AF43" s="419">
        <f>+'CRONOGRAMA VALORADO'!AE30</f>
        <v>0</v>
      </c>
      <c r="AG43" s="419">
        <f>+'CRONOGRAMA VALORADO'!AF30</f>
        <v>0</v>
      </c>
      <c r="AH43" s="419">
        <f>+'CRONOGRAMA VALORADO'!AG30</f>
        <v>0</v>
      </c>
      <c r="AI43" s="419">
        <f>+'CRONOGRAMA VALORADO'!AH30</f>
        <v>0</v>
      </c>
      <c r="AJ43" s="419">
        <f>+'CRONOGRAMA VALORADO'!AI30</f>
        <v>0</v>
      </c>
      <c r="AK43" s="419">
        <f>+'CRONOGRAMA VALORADO'!AJ30</f>
        <v>0</v>
      </c>
      <c r="AL43" s="419">
        <f>+'CRONOGRAMA VALORADO'!AK30</f>
        <v>0</v>
      </c>
      <c r="AM43" s="419">
        <f>+'CRONOGRAMA VALORADO'!AL30</f>
        <v>0</v>
      </c>
      <c r="AN43" s="419">
        <f>+'CRONOGRAMA VALORADO'!AM30</f>
        <v>0</v>
      </c>
      <c r="AO43" s="419">
        <f>+'CRONOGRAMA VALORADO'!AN30</f>
        <v>0</v>
      </c>
      <c r="AP43" s="419">
        <f>+'CRONOGRAMA VALORADO'!AO30</f>
        <v>0</v>
      </c>
      <c r="AQ43" s="419">
        <f>+'CRONOGRAMA VALORADO'!AP30</f>
        <v>0</v>
      </c>
      <c r="AR43" s="419">
        <f>+'CRONOGRAMA VALORADO'!AQ30</f>
        <v>0</v>
      </c>
      <c r="AS43" s="419">
        <f>+'CRONOGRAMA VALORADO'!AR30</f>
        <v>0</v>
      </c>
      <c r="AT43" s="419">
        <f>+'CRONOGRAMA VALORADO'!AS30</f>
        <v>0</v>
      </c>
      <c r="AU43" s="419">
        <f>+'CRONOGRAMA VALORADO'!AT30</f>
        <v>0</v>
      </c>
      <c r="AV43" s="419">
        <f>+'CRONOGRAMA VALORADO'!AU30</f>
        <v>0</v>
      </c>
      <c r="AW43" s="419">
        <f>+'CRONOGRAMA VALORADO'!AV30</f>
        <v>0</v>
      </c>
      <c r="AX43" s="419">
        <f>+'CRONOGRAMA VALORADO'!AW30</f>
        <v>0</v>
      </c>
      <c r="AY43" s="419">
        <f>+'CRONOGRAMA VALORADO'!AX30</f>
        <v>0</v>
      </c>
      <c r="AZ43" s="419">
        <f>+'CRONOGRAMA VALORADO'!AY30</f>
        <v>0</v>
      </c>
      <c r="BA43" s="419">
        <f>+'CRONOGRAMA VALORADO'!AZ30</f>
        <v>0</v>
      </c>
      <c r="BB43" s="419"/>
      <c r="BC43" s="419"/>
      <c r="BD43" s="419"/>
      <c r="BE43" s="413">
        <f t="shared" si="7"/>
        <v>-58513.939999999995</v>
      </c>
      <c r="BF43" s="398"/>
      <c r="BG43" s="421">
        <f t="shared" si="6"/>
        <v>-58513.94</v>
      </c>
      <c r="BH43" s="398"/>
      <c r="BI43" s="191" t="b">
        <f t="shared" si="4"/>
        <v>1</v>
      </c>
    </row>
    <row r="44" spans="1:62" ht="15" customHeight="1">
      <c r="A44" s="419" t="s">
        <v>50</v>
      </c>
      <c r="B44" s="435"/>
      <c r="C44" s="436">
        <f>-'PRESUPUESTO GENERAL'!H18</f>
        <v>-42943.71</v>
      </c>
      <c r="D44" s="422">
        <f t="shared" si="5"/>
        <v>-42943.71</v>
      </c>
      <c r="E44" s="437">
        <v>0</v>
      </c>
      <c r="F44" s="419"/>
      <c r="G44" s="419">
        <f>-'CRONOGRAMA VALORADO'!F33</f>
        <v>-1249.482409</v>
      </c>
      <c r="H44" s="419">
        <f>-'CRONOGRAMA VALORADO'!G33</f>
        <v>-1249.482409</v>
      </c>
      <c r="I44" s="419">
        <f>-'CRONOGRAMA VALORADO'!H33</f>
        <v>-1249.482409</v>
      </c>
      <c r="J44" s="419">
        <f>-'CRONOGRAMA VALORADO'!I33</f>
        <v>-1249.482409</v>
      </c>
      <c r="K44" s="419">
        <f>-'CRONOGRAMA VALORADO'!J33</f>
        <v>-832.98827266666694</v>
      </c>
      <c r="L44" s="419">
        <f>-'CRONOGRAMA VALORADO'!K33</f>
        <v>-832.98827266666694</v>
      </c>
      <c r="M44" s="419">
        <f>-'CRONOGRAMA VALORADO'!L33</f>
        <v>-832.98827266666694</v>
      </c>
      <c r="N44" s="419">
        <f>-'CRONOGRAMA VALORADO'!M33</f>
        <v>-1249.482409</v>
      </c>
      <c r="O44" s="419">
        <f>-'CRONOGRAMA VALORADO'!N33</f>
        <v>-1249.482409</v>
      </c>
      <c r="P44" s="419">
        <f>-'CRONOGRAMA VALORADO'!O33</f>
        <v>-1030.217682</v>
      </c>
      <c r="Q44" s="419">
        <f>-'CRONOGRAMA VALORADO'!P33</f>
        <v>-1030.217682</v>
      </c>
      <c r="R44" s="419">
        <f>-'CRONOGRAMA VALORADO'!Q33</f>
        <v>-2060.4353639999999</v>
      </c>
      <c r="S44" s="419">
        <f>-'CRONOGRAMA VALORADO'!R33</f>
        <v>-2264.460388</v>
      </c>
      <c r="T44" s="419">
        <f>-'CRONOGRAMA VALORADO'!S33</f>
        <v>-2264.460388</v>
      </c>
      <c r="U44" s="419">
        <f>-'CRONOGRAMA VALORADO'!T33</f>
        <v>-4719.8323060000002</v>
      </c>
      <c r="V44" s="419">
        <f>-'CRONOGRAMA VALORADO'!U33</f>
        <v>-4719.8323060000002</v>
      </c>
      <c r="W44" s="419">
        <f>-'CRONOGRAMA VALORADO'!V33</f>
        <v>-4719.8323060000002</v>
      </c>
      <c r="X44" s="419">
        <f>-'CRONOGRAMA VALORADO'!W33</f>
        <v>-10138.562306</v>
      </c>
      <c r="Y44" s="419">
        <f>-'CRONOGRAMA VALORADO'!X33</f>
        <v>0</v>
      </c>
      <c r="Z44" s="419">
        <f>-'CRONOGRAMA VALORADO'!Y33</f>
        <v>0</v>
      </c>
      <c r="AA44" s="419">
        <f>-'CRONOGRAMA VALORADO'!Z33</f>
        <v>0</v>
      </c>
      <c r="AB44" s="419">
        <f>-'CRONOGRAMA VALORADO'!AA33</f>
        <v>0</v>
      </c>
      <c r="AC44" s="419">
        <f>+'CRONOGRAMA VALORADO'!AB31</f>
        <v>0</v>
      </c>
      <c r="AD44" s="419">
        <f>+'CRONOGRAMA VALORADO'!AC31</f>
        <v>0</v>
      </c>
      <c r="AE44" s="419">
        <f>+'CRONOGRAMA VALORADO'!AD31</f>
        <v>0</v>
      </c>
      <c r="AF44" s="419">
        <f>+'CRONOGRAMA VALORADO'!AE31</f>
        <v>0</v>
      </c>
      <c r="AG44" s="419">
        <f>+'CRONOGRAMA VALORADO'!AF31</f>
        <v>0</v>
      </c>
      <c r="AH44" s="419">
        <f>+'CRONOGRAMA VALORADO'!AG31</f>
        <v>0</v>
      </c>
      <c r="AI44" s="419">
        <f>+'CRONOGRAMA VALORADO'!AH31</f>
        <v>0</v>
      </c>
      <c r="AJ44" s="419">
        <f>+'CRONOGRAMA VALORADO'!AI31</f>
        <v>0</v>
      </c>
      <c r="AK44" s="419">
        <f>+'CRONOGRAMA VALORADO'!AJ31</f>
        <v>0</v>
      </c>
      <c r="AL44" s="419">
        <f>+'CRONOGRAMA VALORADO'!AK31</f>
        <v>0</v>
      </c>
      <c r="AM44" s="419">
        <f>+'CRONOGRAMA VALORADO'!AL31</f>
        <v>0</v>
      </c>
      <c r="AN44" s="419">
        <f>+'CRONOGRAMA VALORADO'!AM31</f>
        <v>0</v>
      </c>
      <c r="AO44" s="419">
        <f>+'CRONOGRAMA VALORADO'!AN31</f>
        <v>0</v>
      </c>
      <c r="AP44" s="419">
        <f>+'CRONOGRAMA VALORADO'!AO31</f>
        <v>0</v>
      </c>
      <c r="AQ44" s="419">
        <f>+'CRONOGRAMA VALORADO'!AP31</f>
        <v>0</v>
      </c>
      <c r="AR44" s="419">
        <f>+'CRONOGRAMA VALORADO'!AQ31</f>
        <v>0</v>
      </c>
      <c r="AS44" s="419">
        <f>+'CRONOGRAMA VALORADO'!AR31</f>
        <v>0</v>
      </c>
      <c r="AT44" s="419">
        <f>+'CRONOGRAMA VALORADO'!AS31</f>
        <v>0</v>
      </c>
      <c r="AU44" s="419">
        <f>+'CRONOGRAMA VALORADO'!AT31</f>
        <v>0</v>
      </c>
      <c r="AV44" s="419">
        <f>+'CRONOGRAMA VALORADO'!AU31</f>
        <v>0</v>
      </c>
      <c r="AW44" s="419">
        <f>+'CRONOGRAMA VALORADO'!AV31</f>
        <v>0</v>
      </c>
      <c r="AX44" s="419">
        <f>+'CRONOGRAMA VALORADO'!AW31</f>
        <v>0</v>
      </c>
      <c r="AY44" s="419">
        <f>+'CRONOGRAMA VALORADO'!AX31</f>
        <v>0</v>
      </c>
      <c r="AZ44" s="419">
        <f>+'CRONOGRAMA VALORADO'!AY31</f>
        <v>0</v>
      </c>
      <c r="BA44" s="419">
        <f>+'CRONOGRAMA VALORADO'!AZ31</f>
        <v>0</v>
      </c>
      <c r="BB44" s="419"/>
      <c r="BC44" s="419"/>
      <c r="BD44" s="419"/>
      <c r="BE44" s="413">
        <f t="shared" si="7"/>
        <v>-42943.71</v>
      </c>
      <c r="BF44" s="398"/>
      <c r="BG44" s="421">
        <f t="shared" si="6"/>
        <v>-42943.71</v>
      </c>
      <c r="BH44" s="398"/>
      <c r="BI44" s="191" t="b">
        <f t="shared" si="4"/>
        <v>1</v>
      </c>
    </row>
    <row r="45" spans="1:62" ht="15" customHeight="1">
      <c r="A45" s="419" t="s">
        <v>110</v>
      </c>
      <c r="B45" s="435"/>
      <c r="C45" s="436">
        <f>'PRESUPUESTO GENERAL'!H19*-1</f>
        <v>-161844.89000000001</v>
      </c>
      <c r="D45" s="422">
        <f t="shared" si="5"/>
        <v>-161844.89000000001</v>
      </c>
      <c r="E45" s="437">
        <v>0</v>
      </c>
      <c r="F45" s="419"/>
      <c r="G45" s="419">
        <f t="shared" ref="G45:AB45" si="8">SUM(G36:G44)*5%</f>
        <v>-9263.1358604999987</v>
      </c>
      <c r="H45" s="419">
        <f t="shared" si="8"/>
        <v>-9263.1358604999987</v>
      </c>
      <c r="I45" s="419">
        <f t="shared" si="8"/>
        <v>-12558.712422999999</v>
      </c>
      <c r="J45" s="419">
        <f t="shared" si="8"/>
        <v>-12558.712422999999</v>
      </c>
      <c r="K45" s="419">
        <f t="shared" si="8"/>
        <v>-8442.0066812666682</v>
      </c>
      <c r="L45" s="419">
        <f t="shared" si="8"/>
        <v>-8442.0066812666682</v>
      </c>
      <c r="M45" s="419">
        <f t="shared" si="8"/>
        <v>-8442.0066812666682</v>
      </c>
      <c r="N45" s="419">
        <f t="shared" si="8"/>
        <v>-5713.564002000001</v>
      </c>
      <c r="O45" s="419">
        <f t="shared" si="8"/>
        <v>-5713.564002000001</v>
      </c>
      <c r="P45" s="419">
        <f t="shared" si="8"/>
        <v>-5944.3732147500004</v>
      </c>
      <c r="Q45" s="419">
        <f t="shared" si="8"/>
        <v>-5944.3732147500004</v>
      </c>
      <c r="R45" s="419">
        <f t="shared" si="8"/>
        <v>-8489.6705807000017</v>
      </c>
      <c r="S45" s="419">
        <f t="shared" si="8"/>
        <v>-14584.200380400001</v>
      </c>
      <c r="T45" s="419">
        <f t="shared" si="8"/>
        <v>-15583.750263950002</v>
      </c>
      <c r="U45" s="419">
        <f t="shared" si="8"/>
        <v>-10032.422839350002</v>
      </c>
      <c r="V45" s="419">
        <f t="shared" si="8"/>
        <v>-8418.9240260999995</v>
      </c>
      <c r="W45" s="419">
        <f t="shared" si="8"/>
        <v>-6559.9198182000009</v>
      </c>
      <c r="X45" s="419">
        <f t="shared" si="8"/>
        <v>-5890.4085470000009</v>
      </c>
      <c r="Y45" s="419">
        <f t="shared" si="8"/>
        <v>0</v>
      </c>
      <c r="Z45" s="419">
        <f t="shared" si="8"/>
        <v>0</v>
      </c>
      <c r="AA45" s="419">
        <f t="shared" si="8"/>
        <v>0</v>
      </c>
      <c r="AB45" s="419">
        <f t="shared" si="8"/>
        <v>0</v>
      </c>
      <c r="AC45" s="419">
        <f>+'CRONOGRAMA VALORADO'!AB32</f>
        <v>0</v>
      </c>
      <c r="AD45" s="419">
        <f>+'CRONOGRAMA VALORADO'!AC32</f>
        <v>0</v>
      </c>
      <c r="AE45" s="419">
        <f>+'CRONOGRAMA VALORADO'!AD32</f>
        <v>0</v>
      </c>
      <c r="AF45" s="419">
        <f>+'CRONOGRAMA VALORADO'!AE32</f>
        <v>0</v>
      </c>
      <c r="AG45" s="419">
        <f>+'CRONOGRAMA VALORADO'!AF32</f>
        <v>0</v>
      </c>
      <c r="AH45" s="419">
        <f>+'CRONOGRAMA VALORADO'!AG32</f>
        <v>0</v>
      </c>
      <c r="AI45" s="419">
        <f>+'CRONOGRAMA VALORADO'!AH32</f>
        <v>0</v>
      </c>
      <c r="AJ45" s="419">
        <f>+'CRONOGRAMA VALORADO'!AI32</f>
        <v>0</v>
      </c>
      <c r="AK45" s="419">
        <f>+'CRONOGRAMA VALORADO'!AJ32</f>
        <v>0</v>
      </c>
      <c r="AL45" s="419">
        <f>+'CRONOGRAMA VALORADO'!AK32</f>
        <v>0</v>
      </c>
      <c r="AM45" s="419">
        <f>+'CRONOGRAMA VALORADO'!AL32</f>
        <v>0</v>
      </c>
      <c r="AN45" s="419">
        <f>+'CRONOGRAMA VALORADO'!AM32</f>
        <v>0</v>
      </c>
      <c r="AO45" s="419">
        <f>+'CRONOGRAMA VALORADO'!AN32</f>
        <v>0</v>
      </c>
      <c r="AP45" s="419">
        <f>+'CRONOGRAMA VALORADO'!AO32</f>
        <v>0</v>
      </c>
      <c r="AQ45" s="419">
        <f>+'CRONOGRAMA VALORADO'!AP32</f>
        <v>0</v>
      </c>
      <c r="AR45" s="419">
        <f>+'CRONOGRAMA VALORADO'!AQ32</f>
        <v>0</v>
      </c>
      <c r="AS45" s="419">
        <f>+'CRONOGRAMA VALORADO'!AR32</f>
        <v>0</v>
      </c>
      <c r="AT45" s="419">
        <f>+'CRONOGRAMA VALORADO'!AS32</f>
        <v>0</v>
      </c>
      <c r="AU45" s="419">
        <f>+'CRONOGRAMA VALORADO'!AT32</f>
        <v>0</v>
      </c>
      <c r="AV45" s="419">
        <f>+'CRONOGRAMA VALORADO'!AU32</f>
        <v>0</v>
      </c>
      <c r="AW45" s="419">
        <f>+'CRONOGRAMA VALORADO'!AV32</f>
        <v>0</v>
      </c>
      <c r="AX45" s="419">
        <f>+'CRONOGRAMA VALORADO'!AW32</f>
        <v>0</v>
      </c>
      <c r="AY45" s="419">
        <f>+'CRONOGRAMA VALORADO'!AX32</f>
        <v>0</v>
      </c>
      <c r="AZ45" s="419">
        <f>+'CRONOGRAMA VALORADO'!AY32</f>
        <v>0</v>
      </c>
      <c r="BA45" s="419">
        <f>+'CRONOGRAMA VALORADO'!AZ32</f>
        <v>0</v>
      </c>
      <c r="BB45" s="419"/>
      <c r="BC45" s="419"/>
      <c r="BD45" s="419"/>
      <c r="BE45" s="413">
        <f>+SUM(F45:BB45)</f>
        <v>-161844.88749999998</v>
      </c>
      <c r="BF45" s="398"/>
      <c r="BG45" s="421">
        <f t="shared" si="6"/>
        <v>-161844.89000000001</v>
      </c>
      <c r="BH45" s="398"/>
      <c r="BI45" s="191" t="b">
        <f t="shared" si="4"/>
        <v>0</v>
      </c>
      <c r="BJ45" s="440">
        <f>+BE45-C45</f>
        <v>2.5000000314321369E-3</v>
      </c>
    </row>
    <row r="46" spans="1:62" ht="15" customHeight="1">
      <c r="A46" s="419" t="s">
        <v>51</v>
      </c>
      <c r="B46" s="435"/>
      <c r="C46" s="436">
        <f>'PRESUPUESTO GENERAL'!H20*-1</f>
        <v>-509811.4</v>
      </c>
      <c r="D46" s="422">
        <f t="shared" si="5"/>
        <v>-509811.4</v>
      </c>
      <c r="E46" s="437">
        <v>0</v>
      </c>
      <c r="F46" s="419"/>
      <c r="G46" s="419">
        <f t="shared" ref="G46:AB46" si="9">SUM(G36:G45)*15%</f>
        <v>-29178.877960574991</v>
      </c>
      <c r="H46" s="419">
        <f t="shared" si="9"/>
        <v>-29178.877960574991</v>
      </c>
      <c r="I46" s="419">
        <f t="shared" si="9"/>
        <v>-39559.94413245</v>
      </c>
      <c r="J46" s="419">
        <f t="shared" si="9"/>
        <v>-39559.94413245</v>
      </c>
      <c r="K46" s="419">
        <f t="shared" si="9"/>
        <v>-26592.321045990007</v>
      </c>
      <c r="L46" s="419">
        <f t="shared" si="9"/>
        <v>-26592.321045990007</v>
      </c>
      <c r="M46" s="419">
        <f t="shared" si="9"/>
        <v>-26592.321045990007</v>
      </c>
      <c r="N46" s="419">
        <f t="shared" si="9"/>
        <v>-17997.726606300002</v>
      </c>
      <c r="O46" s="419">
        <f t="shared" si="9"/>
        <v>-17997.726606300002</v>
      </c>
      <c r="P46" s="419">
        <f t="shared" si="9"/>
        <v>-18724.775626462499</v>
      </c>
      <c r="Q46" s="419">
        <f t="shared" si="9"/>
        <v>-18724.775626462499</v>
      </c>
      <c r="R46" s="419">
        <f t="shared" si="9"/>
        <v>-26742.462329205002</v>
      </c>
      <c r="S46" s="419">
        <f t="shared" si="9"/>
        <v>-45940.23119826</v>
      </c>
      <c r="T46" s="419">
        <f t="shared" si="9"/>
        <v>-49088.813331442499</v>
      </c>
      <c r="U46" s="419">
        <f t="shared" si="9"/>
        <v>-31602.1319439525</v>
      </c>
      <c r="V46" s="419">
        <f t="shared" si="9"/>
        <v>-26519.610682215</v>
      </c>
      <c r="W46" s="419">
        <f t="shared" si="9"/>
        <v>-20663.747427329999</v>
      </c>
      <c r="X46" s="419">
        <f t="shared" si="9"/>
        <v>-18554.78692305</v>
      </c>
      <c r="Y46" s="419">
        <f t="shared" si="9"/>
        <v>0</v>
      </c>
      <c r="Z46" s="419">
        <f t="shared" si="9"/>
        <v>0</v>
      </c>
      <c r="AA46" s="419">
        <f t="shared" si="9"/>
        <v>0</v>
      </c>
      <c r="AB46" s="419">
        <f t="shared" si="9"/>
        <v>0</v>
      </c>
      <c r="AC46" s="419">
        <f>+'CRONOGRAMA VALORADO'!AB33</f>
        <v>0</v>
      </c>
      <c r="AD46" s="419">
        <f>+'CRONOGRAMA VALORADO'!AC33</f>
        <v>0</v>
      </c>
      <c r="AE46" s="419">
        <f>+'CRONOGRAMA VALORADO'!AD33</f>
        <v>0</v>
      </c>
      <c r="AF46" s="419">
        <f>+'CRONOGRAMA VALORADO'!AE33</f>
        <v>0</v>
      </c>
      <c r="AG46" s="419">
        <f>+'CRONOGRAMA VALORADO'!AF33</f>
        <v>0</v>
      </c>
      <c r="AH46" s="419">
        <f>+'CRONOGRAMA VALORADO'!AG33</f>
        <v>0</v>
      </c>
      <c r="AI46" s="419">
        <f>+'CRONOGRAMA VALORADO'!AH33</f>
        <v>0</v>
      </c>
      <c r="AJ46" s="419">
        <f>+'CRONOGRAMA VALORADO'!AI33</f>
        <v>0</v>
      </c>
      <c r="AK46" s="419">
        <f>+'CRONOGRAMA VALORADO'!AJ33</f>
        <v>0</v>
      </c>
      <c r="AL46" s="419">
        <f>+'CRONOGRAMA VALORADO'!AK33</f>
        <v>0</v>
      </c>
      <c r="AM46" s="419">
        <f>+'CRONOGRAMA VALORADO'!AL33</f>
        <v>0</v>
      </c>
      <c r="AN46" s="419">
        <f>+'CRONOGRAMA VALORADO'!AM33</f>
        <v>0</v>
      </c>
      <c r="AO46" s="419">
        <f>+'CRONOGRAMA VALORADO'!AN33</f>
        <v>0</v>
      </c>
      <c r="AP46" s="419">
        <f>+'CRONOGRAMA VALORADO'!AO33</f>
        <v>0</v>
      </c>
      <c r="AQ46" s="419">
        <f>+'CRONOGRAMA VALORADO'!AP33</f>
        <v>0</v>
      </c>
      <c r="AR46" s="419">
        <f>+'CRONOGRAMA VALORADO'!AQ33</f>
        <v>0</v>
      </c>
      <c r="AS46" s="419">
        <f>+'CRONOGRAMA VALORADO'!AR33</f>
        <v>0</v>
      </c>
      <c r="AT46" s="419">
        <f>+'CRONOGRAMA VALORADO'!AS33</f>
        <v>0</v>
      </c>
      <c r="AU46" s="419">
        <f>+'CRONOGRAMA VALORADO'!AT33</f>
        <v>0</v>
      </c>
      <c r="AV46" s="419">
        <f>+'CRONOGRAMA VALORADO'!AU33</f>
        <v>0</v>
      </c>
      <c r="AW46" s="419">
        <f>+'CRONOGRAMA VALORADO'!AV33</f>
        <v>0</v>
      </c>
      <c r="AX46" s="419">
        <f>+'CRONOGRAMA VALORADO'!AW33</f>
        <v>0</v>
      </c>
      <c r="AY46" s="419">
        <f>+'CRONOGRAMA VALORADO'!AX33</f>
        <v>0</v>
      </c>
      <c r="AZ46" s="419">
        <f>+'CRONOGRAMA VALORADO'!AY33</f>
        <v>0</v>
      </c>
      <c r="BA46" s="419">
        <f>+'CRONOGRAMA VALORADO'!AZ33</f>
        <v>0</v>
      </c>
      <c r="BB46" s="419"/>
      <c r="BC46" s="419"/>
      <c r="BD46" s="419"/>
      <c r="BE46" s="413">
        <f>+SUM(F46:BB46)</f>
        <v>-509811.39562500006</v>
      </c>
      <c r="BF46" s="398"/>
      <c r="BG46" s="421">
        <f t="shared" si="6"/>
        <v>-509811.4</v>
      </c>
      <c r="BH46" s="398"/>
      <c r="BI46" s="191" t="b">
        <f t="shared" si="4"/>
        <v>0</v>
      </c>
      <c r="BJ46" s="440">
        <f>+BE46-C46</f>
        <v>4.3749999604187906E-3</v>
      </c>
    </row>
    <row r="47" spans="1:62" ht="15" customHeight="1">
      <c r="A47" s="419"/>
      <c r="B47" s="435"/>
      <c r="C47" s="436"/>
      <c r="D47" s="422"/>
      <c r="E47" s="437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  <c r="AC47" s="419"/>
      <c r="AD47" s="419"/>
      <c r="AE47" s="419"/>
      <c r="AF47" s="419"/>
      <c r="AG47" s="419"/>
      <c r="AH47" s="419"/>
      <c r="AI47" s="419"/>
      <c r="AJ47" s="419"/>
      <c r="AK47" s="419"/>
      <c r="AL47" s="419"/>
      <c r="AM47" s="419"/>
      <c r="AN47" s="419"/>
      <c r="AO47" s="419"/>
      <c r="AP47" s="419"/>
      <c r="AQ47" s="419"/>
      <c r="AR47" s="419"/>
      <c r="AS47" s="419"/>
      <c r="AT47" s="419"/>
      <c r="AU47" s="419"/>
      <c r="AV47" s="419"/>
      <c r="AW47" s="419"/>
      <c r="AX47" s="419"/>
      <c r="AY47" s="419"/>
      <c r="AZ47" s="419"/>
      <c r="BA47" s="419"/>
      <c r="BB47" s="419"/>
      <c r="BC47" s="419"/>
      <c r="BD47" s="419"/>
      <c r="BE47" s="413"/>
      <c r="BF47" s="398"/>
      <c r="BG47" s="421"/>
      <c r="BH47" s="398"/>
      <c r="BI47" s="191" t="b">
        <f t="shared" si="4"/>
        <v>1</v>
      </c>
    </row>
    <row r="48" spans="1:62" ht="15" customHeight="1">
      <c r="A48" s="441" t="s">
        <v>188</v>
      </c>
      <c r="B48" s="425"/>
      <c r="C48" s="425">
        <f>SUM(C49:C58)</f>
        <v>-1056035.171576489</v>
      </c>
      <c r="D48" s="425"/>
      <c r="E48" s="425"/>
      <c r="G48" s="398"/>
      <c r="H48" s="398"/>
      <c r="I48" s="398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398"/>
      <c r="V48" s="398"/>
      <c r="W48" s="398"/>
      <c r="X48" s="398"/>
      <c r="Y48" s="398"/>
      <c r="Z48" s="398"/>
      <c r="AA48" s="398"/>
      <c r="AB48" s="398"/>
      <c r="AC48" s="398"/>
      <c r="AD48" s="398"/>
      <c r="AE48" s="398"/>
      <c r="AF48" s="398"/>
      <c r="AG48" s="398"/>
      <c r="AH48" s="398"/>
      <c r="AI48" s="398"/>
      <c r="AJ48" s="398"/>
      <c r="AK48" s="398"/>
      <c r="AL48" s="398"/>
      <c r="AM48" s="398"/>
      <c r="AN48" s="398"/>
      <c r="AO48" s="398"/>
      <c r="AP48" s="398"/>
      <c r="AQ48" s="398"/>
      <c r="AR48" s="398"/>
      <c r="AS48" s="398"/>
      <c r="AT48" s="398"/>
      <c r="AU48" s="398"/>
      <c r="AV48" s="398"/>
      <c r="AW48" s="398"/>
      <c r="AX48" s="398"/>
      <c r="AY48" s="398"/>
      <c r="AZ48" s="398"/>
      <c r="BA48" s="398"/>
      <c r="BB48" s="398"/>
      <c r="BC48" s="398"/>
      <c r="BD48" s="398"/>
      <c r="BE48" s="442">
        <f>+SUM(E48:BB48)</f>
        <v>0</v>
      </c>
      <c r="BF48" s="398"/>
      <c r="BG48" s="398"/>
      <c r="BH48" s="398"/>
    </row>
    <row r="49" spans="1:62" ht="15" customHeight="1">
      <c r="A49" s="419" t="s">
        <v>510</v>
      </c>
      <c r="B49" s="435"/>
      <c r="C49" s="436">
        <f>'PRESUPUESTO GENERAL'!H23*-1</f>
        <v>-117910.85</v>
      </c>
      <c r="D49" s="422">
        <f t="shared" ref="D49:D58" si="10">E49+C49</f>
        <v>0</v>
      </c>
      <c r="E49" s="437">
        <v>117910.85</v>
      </c>
      <c r="F49" s="419">
        <f>C49</f>
        <v>-117910.85</v>
      </c>
      <c r="G49" s="419">
        <v>0</v>
      </c>
      <c r="H49" s="438"/>
      <c r="I49" s="438"/>
      <c r="J49" s="438"/>
      <c r="K49" s="438"/>
      <c r="L49" s="438"/>
      <c r="M49" s="438"/>
      <c r="N49" s="438"/>
      <c r="O49" s="438"/>
      <c r="P49" s="438"/>
      <c r="Q49" s="438"/>
      <c r="R49" s="438"/>
      <c r="S49" s="438"/>
      <c r="T49" s="438"/>
      <c r="U49" s="438"/>
      <c r="V49" s="438"/>
      <c r="W49" s="438"/>
      <c r="X49" s="438"/>
      <c r="Y49" s="438"/>
      <c r="Z49" s="438"/>
      <c r="AA49" s="438"/>
      <c r="AB49" s="438"/>
      <c r="AC49" s="438"/>
      <c r="AD49" s="438"/>
      <c r="AE49" s="438"/>
      <c r="AF49" s="438"/>
      <c r="AG49" s="438"/>
      <c r="AH49" s="438"/>
      <c r="AI49" s="438"/>
      <c r="AJ49" s="438"/>
      <c r="AK49" s="438"/>
      <c r="AL49" s="438"/>
      <c r="AM49" s="438"/>
      <c r="AN49" s="438"/>
      <c r="AO49" s="438"/>
      <c r="AP49" s="438"/>
      <c r="AQ49" s="438"/>
      <c r="AR49" s="438"/>
      <c r="AS49" s="438"/>
      <c r="AT49" s="438"/>
      <c r="AU49" s="438"/>
      <c r="AV49" s="438"/>
      <c r="AW49" s="438"/>
      <c r="AX49" s="438"/>
      <c r="AY49" s="438"/>
      <c r="AZ49" s="438"/>
      <c r="BA49" s="438"/>
      <c r="BB49" s="439">
        <f>+D49</f>
        <v>0</v>
      </c>
      <c r="BC49" s="438"/>
      <c r="BD49" s="438"/>
      <c r="BE49" s="413">
        <f>+SUM(F49:BB49)</f>
        <v>-117910.85</v>
      </c>
      <c r="BF49" s="398"/>
      <c r="BG49" s="421">
        <f t="shared" ref="BG49:BG58" si="11">C49</f>
        <v>-117910.85</v>
      </c>
      <c r="BH49" s="398"/>
      <c r="BI49" s="191" t="b">
        <f t="shared" ref="BI49:BI58" si="12">C49=BE49</f>
        <v>1</v>
      </c>
      <c r="BJ49" s="440">
        <f t="shared" ref="BJ49:BJ58" si="13">+BE49-C49</f>
        <v>0</v>
      </c>
    </row>
    <row r="50" spans="1:62" ht="15" customHeight="1">
      <c r="A50" s="419" t="s">
        <v>511</v>
      </c>
      <c r="B50" s="435"/>
      <c r="C50" s="436">
        <f>'PRESUPUESTO GENERAL'!H31*-1</f>
        <v>-192538.7009480338</v>
      </c>
      <c r="D50" s="422">
        <f t="shared" si="10"/>
        <v>-192538.7009480338</v>
      </c>
      <c r="E50" s="437">
        <v>0</v>
      </c>
      <c r="F50" s="419"/>
      <c r="G50" s="419">
        <f t="shared" ref="G50:X50" si="14">$C$50/18</f>
        <v>-10696.594497112988</v>
      </c>
      <c r="H50" s="419">
        <f t="shared" si="14"/>
        <v>-10696.594497112988</v>
      </c>
      <c r="I50" s="419">
        <f t="shared" si="14"/>
        <v>-10696.594497112988</v>
      </c>
      <c r="J50" s="419">
        <f t="shared" si="14"/>
        <v>-10696.594497112988</v>
      </c>
      <c r="K50" s="419">
        <f t="shared" si="14"/>
        <v>-10696.594497112988</v>
      </c>
      <c r="L50" s="419">
        <f t="shared" si="14"/>
        <v>-10696.594497112988</v>
      </c>
      <c r="M50" s="419">
        <f t="shared" si="14"/>
        <v>-10696.594497112988</v>
      </c>
      <c r="N50" s="419">
        <f t="shared" si="14"/>
        <v>-10696.594497112988</v>
      </c>
      <c r="O50" s="419">
        <f t="shared" si="14"/>
        <v>-10696.594497112988</v>
      </c>
      <c r="P50" s="419">
        <f t="shared" si="14"/>
        <v>-10696.594497112988</v>
      </c>
      <c r="Q50" s="419">
        <f t="shared" si="14"/>
        <v>-10696.594497112988</v>
      </c>
      <c r="R50" s="419">
        <f t="shared" si="14"/>
        <v>-10696.594497112988</v>
      </c>
      <c r="S50" s="419">
        <f t="shared" si="14"/>
        <v>-10696.594497112988</v>
      </c>
      <c r="T50" s="419">
        <f t="shared" si="14"/>
        <v>-10696.594497112988</v>
      </c>
      <c r="U50" s="419">
        <f t="shared" si="14"/>
        <v>-10696.594497112988</v>
      </c>
      <c r="V50" s="419">
        <f t="shared" si="14"/>
        <v>-10696.594497112988</v>
      </c>
      <c r="W50" s="419">
        <f t="shared" si="14"/>
        <v>-10696.594497112988</v>
      </c>
      <c r="X50" s="419">
        <f t="shared" si="14"/>
        <v>-10696.594497112988</v>
      </c>
      <c r="Y50" s="438"/>
      <c r="Z50" s="438"/>
      <c r="AA50" s="438"/>
      <c r="AB50" s="438"/>
      <c r="AC50" s="438"/>
      <c r="AD50" s="438"/>
      <c r="AE50" s="438"/>
      <c r="AF50" s="438"/>
      <c r="AG50" s="438"/>
      <c r="AH50" s="438"/>
      <c r="AI50" s="438"/>
      <c r="AJ50" s="438"/>
      <c r="AK50" s="438"/>
      <c r="AL50" s="438"/>
      <c r="AM50" s="438"/>
      <c r="AN50" s="438"/>
      <c r="AO50" s="438"/>
      <c r="AP50" s="438"/>
      <c r="AQ50" s="438"/>
      <c r="AR50" s="438"/>
      <c r="AS50" s="438"/>
      <c r="AT50" s="438"/>
      <c r="AU50" s="438"/>
      <c r="AV50" s="438"/>
      <c r="AW50" s="438"/>
      <c r="AX50" s="438"/>
      <c r="AY50" s="438"/>
      <c r="AZ50" s="438"/>
      <c r="BA50" s="438"/>
      <c r="BB50" s="439"/>
      <c r="BC50" s="438"/>
      <c r="BD50" s="438"/>
      <c r="BE50" s="413">
        <f>+SUM(F50:BB50)</f>
        <v>-192538.70094803383</v>
      </c>
      <c r="BF50" s="398"/>
      <c r="BG50" s="421">
        <f t="shared" si="11"/>
        <v>-192538.7009480338</v>
      </c>
      <c r="BH50" s="398"/>
      <c r="BI50" s="191" t="b">
        <f t="shared" si="12"/>
        <v>1</v>
      </c>
      <c r="BJ50" s="440">
        <f t="shared" si="13"/>
        <v>0</v>
      </c>
    </row>
    <row r="51" spans="1:62" ht="15" customHeight="1">
      <c r="A51" s="419" t="str">
        <f>+'PRESUPUESTO GENERAL'!B43</f>
        <v>Gastos Legales</v>
      </c>
      <c r="B51" s="435"/>
      <c r="C51" s="436">
        <f>+-'PRESUPUESTO GENERAL'!H43</f>
        <v>-7817.11</v>
      </c>
      <c r="D51" s="422">
        <f t="shared" si="10"/>
        <v>-7817.11</v>
      </c>
      <c r="E51" s="437">
        <v>0</v>
      </c>
      <c r="F51" s="419"/>
      <c r="G51" s="419">
        <f t="shared" ref="G51:X51" si="15">+$C$51/18</f>
        <v>-434.2838888888889</v>
      </c>
      <c r="H51" s="419">
        <f t="shared" si="15"/>
        <v>-434.2838888888889</v>
      </c>
      <c r="I51" s="419">
        <f t="shared" si="15"/>
        <v>-434.2838888888889</v>
      </c>
      <c r="J51" s="419">
        <f t="shared" si="15"/>
        <v>-434.2838888888889</v>
      </c>
      <c r="K51" s="419">
        <f t="shared" si="15"/>
        <v>-434.2838888888889</v>
      </c>
      <c r="L51" s="419">
        <f t="shared" si="15"/>
        <v>-434.2838888888889</v>
      </c>
      <c r="M51" s="419">
        <f t="shared" si="15"/>
        <v>-434.2838888888889</v>
      </c>
      <c r="N51" s="419">
        <f t="shared" si="15"/>
        <v>-434.2838888888889</v>
      </c>
      <c r="O51" s="419">
        <f t="shared" si="15"/>
        <v>-434.2838888888889</v>
      </c>
      <c r="P51" s="419">
        <f t="shared" si="15"/>
        <v>-434.2838888888889</v>
      </c>
      <c r="Q51" s="419">
        <f t="shared" si="15"/>
        <v>-434.2838888888889</v>
      </c>
      <c r="R51" s="419">
        <f t="shared" si="15"/>
        <v>-434.2838888888889</v>
      </c>
      <c r="S51" s="419">
        <f t="shared" si="15"/>
        <v>-434.2838888888889</v>
      </c>
      <c r="T51" s="419">
        <f t="shared" si="15"/>
        <v>-434.2838888888889</v>
      </c>
      <c r="U51" s="419">
        <f t="shared" si="15"/>
        <v>-434.2838888888889</v>
      </c>
      <c r="V51" s="419">
        <f t="shared" si="15"/>
        <v>-434.2838888888889</v>
      </c>
      <c r="W51" s="419">
        <f t="shared" si="15"/>
        <v>-434.2838888888889</v>
      </c>
      <c r="X51" s="419">
        <f t="shared" si="15"/>
        <v>-434.2838888888889</v>
      </c>
      <c r="Y51" s="419">
        <v>0</v>
      </c>
      <c r="Z51" s="419">
        <v>0</v>
      </c>
      <c r="AA51" s="419">
        <v>0</v>
      </c>
      <c r="AB51" s="419">
        <v>0</v>
      </c>
      <c r="AC51" s="419">
        <v>0</v>
      </c>
      <c r="AD51" s="419">
        <v>0</v>
      </c>
      <c r="AE51" s="419">
        <v>0</v>
      </c>
      <c r="AF51" s="419">
        <v>0</v>
      </c>
      <c r="AG51" s="419">
        <v>0</v>
      </c>
      <c r="AH51" s="419">
        <v>0</v>
      </c>
      <c r="AI51" s="419">
        <v>0</v>
      </c>
      <c r="AJ51" s="419">
        <v>0</v>
      </c>
      <c r="AK51" s="419">
        <v>0</v>
      </c>
      <c r="AL51" s="419">
        <v>0</v>
      </c>
      <c r="AM51" s="419">
        <v>0</v>
      </c>
      <c r="AN51" s="419">
        <v>0</v>
      </c>
      <c r="AO51" s="419">
        <v>0</v>
      </c>
      <c r="AP51" s="419">
        <v>0</v>
      </c>
      <c r="AQ51" s="419">
        <v>0</v>
      </c>
      <c r="AR51" s="419">
        <v>0</v>
      </c>
      <c r="AS51" s="419">
        <v>0</v>
      </c>
      <c r="AT51" s="419">
        <v>0</v>
      </c>
      <c r="AU51" s="419">
        <v>0</v>
      </c>
      <c r="AV51" s="419">
        <v>0</v>
      </c>
      <c r="AW51" s="419">
        <v>0</v>
      </c>
      <c r="AX51" s="419">
        <v>0</v>
      </c>
      <c r="AY51" s="419">
        <v>0</v>
      </c>
      <c r="AZ51" s="419">
        <v>0</v>
      </c>
      <c r="BA51" s="419">
        <v>0</v>
      </c>
      <c r="BB51" s="419"/>
      <c r="BC51" s="419"/>
      <c r="BD51" s="419"/>
      <c r="BE51" s="413">
        <f t="shared" ref="BE51:BE61" si="16">+SUM(E51:BB51)</f>
        <v>-7817.1100000000033</v>
      </c>
      <c r="BF51" s="398"/>
      <c r="BG51" s="421">
        <f t="shared" si="11"/>
        <v>-7817.11</v>
      </c>
      <c r="BH51" s="398"/>
      <c r="BI51" s="191" t="b">
        <f t="shared" si="12"/>
        <v>1</v>
      </c>
      <c r="BJ51" s="440">
        <f t="shared" si="13"/>
        <v>0</v>
      </c>
    </row>
    <row r="52" spans="1:62" ht="15" customHeight="1">
      <c r="A52" s="419" t="str">
        <f>+'PRESUPUESTO GENERAL'!B44</f>
        <v>Administrativos de Construcción</v>
      </c>
      <c r="B52" s="435"/>
      <c r="C52" s="436">
        <f>-('PRESUPUESTO GENERAL'!H44)</f>
        <v>-19542.77</v>
      </c>
      <c r="D52" s="422">
        <f t="shared" si="10"/>
        <v>-19542.77</v>
      </c>
      <c r="E52" s="437">
        <v>0</v>
      </c>
      <c r="F52" s="419"/>
      <c r="G52" s="419">
        <f t="shared" ref="G52:X52" si="17">+$C$52/18</f>
        <v>-1085.7094444444444</v>
      </c>
      <c r="H52" s="419">
        <f t="shared" si="17"/>
        <v>-1085.7094444444444</v>
      </c>
      <c r="I52" s="419">
        <f t="shared" si="17"/>
        <v>-1085.7094444444444</v>
      </c>
      <c r="J52" s="419">
        <f t="shared" si="17"/>
        <v>-1085.7094444444444</v>
      </c>
      <c r="K52" s="419">
        <f t="shared" si="17"/>
        <v>-1085.7094444444444</v>
      </c>
      <c r="L52" s="419">
        <f t="shared" si="17"/>
        <v>-1085.7094444444444</v>
      </c>
      <c r="M52" s="419">
        <f t="shared" si="17"/>
        <v>-1085.7094444444444</v>
      </c>
      <c r="N52" s="419">
        <f t="shared" si="17"/>
        <v>-1085.7094444444444</v>
      </c>
      <c r="O52" s="419">
        <f t="shared" si="17"/>
        <v>-1085.7094444444444</v>
      </c>
      <c r="P52" s="419">
        <f t="shared" si="17"/>
        <v>-1085.7094444444444</v>
      </c>
      <c r="Q52" s="419">
        <f t="shared" si="17"/>
        <v>-1085.7094444444444</v>
      </c>
      <c r="R52" s="419">
        <f t="shared" si="17"/>
        <v>-1085.7094444444444</v>
      </c>
      <c r="S52" s="419">
        <f t="shared" si="17"/>
        <v>-1085.7094444444444</v>
      </c>
      <c r="T52" s="419">
        <f t="shared" si="17"/>
        <v>-1085.7094444444444</v>
      </c>
      <c r="U52" s="419">
        <f t="shared" si="17"/>
        <v>-1085.7094444444444</v>
      </c>
      <c r="V52" s="419">
        <f t="shared" si="17"/>
        <v>-1085.7094444444444</v>
      </c>
      <c r="W52" s="419">
        <f t="shared" si="17"/>
        <v>-1085.7094444444444</v>
      </c>
      <c r="X52" s="419">
        <f t="shared" si="17"/>
        <v>-1085.7094444444444</v>
      </c>
      <c r="Y52" s="419"/>
      <c r="Z52" s="419"/>
      <c r="AA52" s="419"/>
      <c r="AB52" s="419"/>
      <c r="AC52" s="419"/>
      <c r="AD52" s="419"/>
      <c r="AE52" s="419"/>
      <c r="AF52" s="419"/>
      <c r="AG52" s="419"/>
      <c r="AH52" s="419"/>
      <c r="AI52" s="419"/>
      <c r="AJ52" s="419"/>
      <c r="AK52" s="419"/>
      <c r="AL52" s="419"/>
      <c r="AM52" s="419"/>
      <c r="AN52" s="419"/>
      <c r="AO52" s="419"/>
      <c r="AP52" s="419"/>
      <c r="AQ52" s="419"/>
      <c r="AR52" s="419"/>
      <c r="AS52" s="419"/>
      <c r="AT52" s="419"/>
      <c r="AU52" s="419"/>
      <c r="AV52" s="419"/>
      <c r="AW52" s="419"/>
      <c r="AX52" s="419"/>
      <c r="AY52" s="419"/>
      <c r="AZ52" s="419"/>
      <c r="BA52" s="419"/>
      <c r="BB52" s="419"/>
      <c r="BC52" s="419"/>
      <c r="BD52" s="419"/>
      <c r="BE52" s="413">
        <f t="shared" si="16"/>
        <v>-19542.77</v>
      </c>
      <c r="BF52" s="398"/>
      <c r="BG52" s="421">
        <f t="shared" si="11"/>
        <v>-19542.77</v>
      </c>
      <c r="BH52" s="398"/>
      <c r="BI52" s="191" t="b">
        <f t="shared" si="12"/>
        <v>1</v>
      </c>
      <c r="BJ52" s="440">
        <f t="shared" si="13"/>
        <v>0</v>
      </c>
    </row>
    <row r="53" spans="1:62" ht="15" customHeight="1">
      <c r="A53" s="419" t="str">
        <f>+'PRESUPUESTO GENERAL'!B45</f>
        <v>Administración Fiduciaria</v>
      </c>
      <c r="B53" s="435"/>
      <c r="C53" s="436">
        <f>+-'PRESUPUESTO GENERAL'!H45</f>
        <v>-78171.08</v>
      </c>
      <c r="D53" s="422">
        <f t="shared" si="10"/>
        <v>-78171.08</v>
      </c>
      <c r="E53" s="437">
        <v>0</v>
      </c>
      <c r="F53" s="419"/>
      <c r="G53" s="419">
        <f t="shared" ref="G53:Z53" si="18">+$D$53/20</f>
        <v>-3908.5540000000001</v>
      </c>
      <c r="H53" s="419">
        <f t="shared" si="18"/>
        <v>-3908.5540000000001</v>
      </c>
      <c r="I53" s="419">
        <f t="shared" si="18"/>
        <v>-3908.5540000000001</v>
      </c>
      <c r="J53" s="419">
        <f t="shared" si="18"/>
        <v>-3908.5540000000001</v>
      </c>
      <c r="K53" s="419">
        <f t="shared" si="18"/>
        <v>-3908.5540000000001</v>
      </c>
      <c r="L53" s="419">
        <f t="shared" si="18"/>
        <v>-3908.5540000000001</v>
      </c>
      <c r="M53" s="419">
        <f t="shared" si="18"/>
        <v>-3908.5540000000001</v>
      </c>
      <c r="N53" s="419">
        <f t="shared" si="18"/>
        <v>-3908.5540000000001</v>
      </c>
      <c r="O53" s="419">
        <f t="shared" si="18"/>
        <v>-3908.5540000000001</v>
      </c>
      <c r="P53" s="419">
        <f t="shared" si="18"/>
        <v>-3908.5540000000001</v>
      </c>
      <c r="Q53" s="419">
        <f t="shared" si="18"/>
        <v>-3908.5540000000001</v>
      </c>
      <c r="R53" s="419">
        <f t="shared" si="18"/>
        <v>-3908.5540000000001</v>
      </c>
      <c r="S53" s="419">
        <f t="shared" si="18"/>
        <v>-3908.5540000000001</v>
      </c>
      <c r="T53" s="419">
        <f t="shared" si="18"/>
        <v>-3908.5540000000001</v>
      </c>
      <c r="U53" s="419">
        <f t="shared" si="18"/>
        <v>-3908.5540000000001</v>
      </c>
      <c r="V53" s="419">
        <f t="shared" si="18"/>
        <v>-3908.5540000000001</v>
      </c>
      <c r="W53" s="419">
        <f t="shared" si="18"/>
        <v>-3908.5540000000001</v>
      </c>
      <c r="X53" s="419">
        <f t="shared" si="18"/>
        <v>-3908.5540000000001</v>
      </c>
      <c r="Y53" s="419">
        <f t="shared" si="18"/>
        <v>-3908.5540000000001</v>
      </c>
      <c r="Z53" s="419">
        <f t="shared" si="18"/>
        <v>-3908.5540000000001</v>
      </c>
      <c r="AA53" s="419">
        <v>0</v>
      </c>
      <c r="AB53" s="419">
        <v>0</v>
      </c>
      <c r="AC53" s="419">
        <v>0</v>
      </c>
      <c r="AD53" s="419">
        <v>0</v>
      </c>
      <c r="AE53" s="419">
        <v>0</v>
      </c>
      <c r="AF53" s="419">
        <v>0</v>
      </c>
      <c r="AG53" s="419">
        <v>0</v>
      </c>
      <c r="AH53" s="419">
        <v>0</v>
      </c>
      <c r="AI53" s="419">
        <v>0</v>
      </c>
      <c r="AJ53" s="419">
        <v>0</v>
      </c>
      <c r="AK53" s="419">
        <v>0</v>
      </c>
      <c r="AL53" s="419">
        <v>0</v>
      </c>
      <c r="AM53" s="419">
        <v>0</v>
      </c>
      <c r="AN53" s="419">
        <v>0</v>
      </c>
      <c r="AO53" s="419">
        <v>0</v>
      </c>
      <c r="AP53" s="419">
        <v>0</v>
      </c>
      <c r="AQ53" s="419">
        <v>0</v>
      </c>
      <c r="AR53" s="419">
        <v>0</v>
      </c>
      <c r="AS53" s="419">
        <v>0</v>
      </c>
      <c r="AT53" s="419">
        <v>0</v>
      </c>
      <c r="AU53" s="419">
        <v>0</v>
      </c>
      <c r="AV53" s="419">
        <v>0</v>
      </c>
      <c r="AW53" s="419">
        <v>0</v>
      </c>
      <c r="AX53" s="419">
        <v>0</v>
      </c>
      <c r="AY53" s="419">
        <v>0</v>
      </c>
      <c r="AZ53" s="419">
        <v>0</v>
      </c>
      <c r="BA53" s="419">
        <v>0</v>
      </c>
      <c r="BB53" s="419">
        <v>0</v>
      </c>
      <c r="BC53" s="419"/>
      <c r="BD53" s="419"/>
      <c r="BE53" s="413">
        <f t="shared" si="16"/>
        <v>-78171.080000000045</v>
      </c>
      <c r="BF53" s="398"/>
      <c r="BG53" s="421">
        <f t="shared" si="11"/>
        <v>-78171.08</v>
      </c>
      <c r="BH53" s="398"/>
      <c r="BI53" s="191" t="b">
        <f t="shared" si="12"/>
        <v>1</v>
      </c>
      <c r="BJ53" s="440">
        <f t="shared" si="13"/>
        <v>0</v>
      </c>
    </row>
    <row r="54" spans="1:62" ht="15" customHeight="1">
      <c r="A54" s="419" t="str">
        <f>+'PRESUPUESTO GENERAL'!B46</f>
        <v>Gerencia Técnica</v>
      </c>
      <c r="B54" s="435"/>
      <c r="C54" s="436">
        <f>+-'PRESUPUESTO GENERAL'!H46</f>
        <v>-117256.62</v>
      </c>
      <c r="D54" s="422">
        <f t="shared" si="10"/>
        <v>-117256.62</v>
      </c>
      <c r="E54" s="437">
        <v>0</v>
      </c>
      <c r="F54" s="419"/>
      <c r="G54" s="419">
        <f t="shared" ref="G54:X54" si="19">+$D$54/18</f>
        <v>-6514.2566666666662</v>
      </c>
      <c r="H54" s="419">
        <f t="shared" si="19"/>
        <v>-6514.2566666666662</v>
      </c>
      <c r="I54" s="419">
        <f t="shared" si="19"/>
        <v>-6514.2566666666662</v>
      </c>
      <c r="J54" s="419">
        <f t="shared" si="19"/>
        <v>-6514.2566666666662</v>
      </c>
      <c r="K54" s="419">
        <f t="shared" si="19"/>
        <v>-6514.2566666666662</v>
      </c>
      <c r="L54" s="419">
        <f t="shared" si="19"/>
        <v>-6514.2566666666662</v>
      </c>
      <c r="M54" s="419">
        <f t="shared" si="19"/>
        <v>-6514.2566666666662</v>
      </c>
      <c r="N54" s="419">
        <f t="shared" si="19"/>
        <v>-6514.2566666666662</v>
      </c>
      <c r="O54" s="419">
        <f t="shared" si="19"/>
        <v>-6514.2566666666662</v>
      </c>
      <c r="P54" s="419">
        <f t="shared" si="19"/>
        <v>-6514.2566666666662</v>
      </c>
      <c r="Q54" s="419">
        <f t="shared" si="19"/>
        <v>-6514.2566666666662</v>
      </c>
      <c r="R54" s="419">
        <f t="shared" si="19"/>
        <v>-6514.2566666666662</v>
      </c>
      <c r="S54" s="419">
        <f t="shared" si="19"/>
        <v>-6514.2566666666662</v>
      </c>
      <c r="T54" s="419">
        <f t="shared" si="19"/>
        <v>-6514.2566666666662</v>
      </c>
      <c r="U54" s="419">
        <f t="shared" si="19"/>
        <v>-6514.2566666666662</v>
      </c>
      <c r="V54" s="419">
        <f t="shared" si="19"/>
        <v>-6514.2566666666662</v>
      </c>
      <c r="W54" s="419">
        <f t="shared" si="19"/>
        <v>-6514.2566666666662</v>
      </c>
      <c r="X54" s="419">
        <f t="shared" si="19"/>
        <v>-6514.2566666666662</v>
      </c>
      <c r="Y54" s="419">
        <v>0</v>
      </c>
      <c r="Z54" s="419">
        <v>0</v>
      </c>
      <c r="AA54" s="419">
        <v>0</v>
      </c>
      <c r="AB54" s="419">
        <v>0</v>
      </c>
      <c r="AC54" s="419">
        <v>0</v>
      </c>
      <c r="AD54" s="419">
        <v>0</v>
      </c>
      <c r="AE54" s="419">
        <v>0</v>
      </c>
      <c r="AF54" s="419">
        <v>0</v>
      </c>
      <c r="AG54" s="419">
        <v>0</v>
      </c>
      <c r="AH54" s="419">
        <v>0</v>
      </c>
      <c r="AI54" s="419">
        <v>0</v>
      </c>
      <c r="AJ54" s="419">
        <v>0</v>
      </c>
      <c r="AK54" s="419">
        <v>0</v>
      </c>
      <c r="AL54" s="419">
        <v>0</v>
      </c>
      <c r="AM54" s="419">
        <v>0</v>
      </c>
      <c r="AN54" s="419">
        <v>0</v>
      </c>
      <c r="AO54" s="419">
        <v>0</v>
      </c>
      <c r="AP54" s="419">
        <v>0</v>
      </c>
      <c r="AQ54" s="419">
        <v>0</v>
      </c>
      <c r="AR54" s="419">
        <v>0</v>
      </c>
      <c r="AS54" s="419">
        <v>0</v>
      </c>
      <c r="AT54" s="419">
        <v>0</v>
      </c>
      <c r="AU54" s="419">
        <v>0</v>
      </c>
      <c r="AV54" s="419">
        <v>0</v>
      </c>
      <c r="AW54" s="419">
        <v>0</v>
      </c>
      <c r="AX54" s="419">
        <v>0</v>
      </c>
      <c r="AY54" s="419">
        <v>0</v>
      </c>
      <c r="AZ54" s="419">
        <v>0</v>
      </c>
      <c r="BA54" s="419">
        <v>0</v>
      </c>
      <c r="BB54" s="419">
        <v>0</v>
      </c>
      <c r="BC54" s="419"/>
      <c r="BD54" s="419"/>
      <c r="BE54" s="413">
        <f t="shared" si="16"/>
        <v>-117256.62000000001</v>
      </c>
      <c r="BF54" s="398"/>
      <c r="BG54" s="421">
        <f t="shared" si="11"/>
        <v>-117256.62</v>
      </c>
      <c r="BH54" s="398"/>
      <c r="BI54" s="191" t="b">
        <f t="shared" si="12"/>
        <v>1</v>
      </c>
      <c r="BJ54" s="440">
        <f t="shared" si="13"/>
        <v>0</v>
      </c>
    </row>
    <row r="55" spans="1:62" ht="15" customHeight="1">
      <c r="A55" s="419" t="str">
        <f>+'PRESUPUESTO GENERAL'!B47</f>
        <v>Fiscalización</v>
      </c>
      <c r="B55" s="435"/>
      <c r="C55" s="436">
        <f>+-'PRESUPUESTO GENERAL'!H47</f>
        <v>-117256.62</v>
      </c>
      <c r="D55" s="422">
        <f t="shared" si="10"/>
        <v>-117256.62</v>
      </c>
      <c r="E55" s="437">
        <v>0</v>
      </c>
      <c r="F55" s="419"/>
      <c r="G55" s="419">
        <f t="shared" ref="G55:X55" si="20">+$D$55/18</f>
        <v>-6514.2566666666662</v>
      </c>
      <c r="H55" s="419">
        <f t="shared" si="20"/>
        <v>-6514.2566666666662</v>
      </c>
      <c r="I55" s="419">
        <f t="shared" si="20"/>
        <v>-6514.2566666666662</v>
      </c>
      <c r="J55" s="419">
        <f t="shared" si="20"/>
        <v>-6514.2566666666662</v>
      </c>
      <c r="K55" s="419">
        <f t="shared" si="20"/>
        <v>-6514.2566666666662</v>
      </c>
      <c r="L55" s="419">
        <f t="shared" si="20"/>
        <v>-6514.2566666666662</v>
      </c>
      <c r="M55" s="419">
        <f t="shared" si="20"/>
        <v>-6514.2566666666662</v>
      </c>
      <c r="N55" s="419">
        <f t="shared" si="20"/>
        <v>-6514.2566666666662</v>
      </c>
      <c r="O55" s="419">
        <f t="shared" si="20"/>
        <v>-6514.2566666666662</v>
      </c>
      <c r="P55" s="419">
        <f t="shared" si="20"/>
        <v>-6514.2566666666662</v>
      </c>
      <c r="Q55" s="419">
        <f t="shared" si="20"/>
        <v>-6514.2566666666662</v>
      </c>
      <c r="R55" s="419">
        <f t="shared" si="20"/>
        <v>-6514.2566666666662</v>
      </c>
      <c r="S55" s="419">
        <f t="shared" si="20"/>
        <v>-6514.2566666666662</v>
      </c>
      <c r="T55" s="419">
        <f t="shared" si="20"/>
        <v>-6514.2566666666662</v>
      </c>
      <c r="U55" s="419">
        <f t="shared" si="20"/>
        <v>-6514.2566666666662</v>
      </c>
      <c r="V55" s="419">
        <f t="shared" si="20"/>
        <v>-6514.2566666666662</v>
      </c>
      <c r="W55" s="419">
        <f t="shared" si="20"/>
        <v>-6514.2566666666662</v>
      </c>
      <c r="X55" s="419">
        <f t="shared" si="20"/>
        <v>-6514.2566666666662</v>
      </c>
      <c r="Y55" s="419">
        <v>0</v>
      </c>
      <c r="Z55" s="419">
        <v>0</v>
      </c>
      <c r="AA55" s="419">
        <v>0</v>
      </c>
      <c r="AB55" s="419">
        <v>0</v>
      </c>
      <c r="AC55" s="419">
        <v>0</v>
      </c>
      <c r="AD55" s="419">
        <v>0</v>
      </c>
      <c r="AE55" s="419">
        <v>0</v>
      </c>
      <c r="AF55" s="419">
        <v>0</v>
      </c>
      <c r="AG55" s="419">
        <v>0</v>
      </c>
      <c r="AH55" s="419">
        <v>0</v>
      </c>
      <c r="AI55" s="419">
        <v>0</v>
      </c>
      <c r="AJ55" s="419">
        <v>0</v>
      </c>
      <c r="AK55" s="419">
        <v>0</v>
      </c>
      <c r="AL55" s="419">
        <v>0</v>
      </c>
      <c r="AM55" s="419">
        <v>0</v>
      </c>
      <c r="AN55" s="419">
        <v>0</v>
      </c>
      <c r="AO55" s="419">
        <v>0</v>
      </c>
      <c r="AP55" s="419">
        <v>0</v>
      </c>
      <c r="AQ55" s="419">
        <v>0</v>
      </c>
      <c r="AR55" s="419">
        <v>0</v>
      </c>
      <c r="AS55" s="419">
        <v>0</v>
      </c>
      <c r="AT55" s="419">
        <v>0</v>
      </c>
      <c r="AU55" s="419">
        <v>0</v>
      </c>
      <c r="AV55" s="419">
        <v>0</v>
      </c>
      <c r="AW55" s="419">
        <v>0</v>
      </c>
      <c r="AX55" s="419">
        <v>0</v>
      </c>
      <c r="AY55" s="419">
        <v>0</v>
      </c>
      <c r="AZ55" s="419">
        <v>0</v>
      </c>
      <c r="BA55" s="419">
        <v>0</v>
      </c>
      <c r="BB55" s="419">
        <v>0</v>
      </c>
      <c r="BC55" s="419"/>
      <c r="BD55" s="419"/>
      <c r="BE55" s="413">
        <f t="shared" si="16"/>
        <v>-117256.62000000001</v>
      </c>
      <c r="BF55" s="398"/>
      <c r="BG55" s="421">
        <f t="shared" si="11"/>
        <v>-117256.62</v>
      </c>
      <c r="BH55" s="398"/>
      <c r="BI55" s="191" t="b">
        <f t="shared" si="12"/>
        <v>1</v>
      </c>
      <c r="BJ55" s="440">
        <f t="shared" si="13"/>
        <v>0</v>
      </c>
    </row>
    <row r="56" spans="1:62" ht="15" customHeight="1">
      <c r="A56" s="419" t="str">
        <f>+'PRESUPUESTO GENERAL'!B48</f>
        <v>Promoción y Publicidad</v>
      </c>
      <c r="B56" s="435"/>
      <c r="C56" s="436">
        <f>+-'PRESUPUESTO GENERAL'!H48</f>
        <v>-70810.53</v>
      </c>
      <c r="D56" s="422">
        <f t="shared" si="10"/>
        <v>-70810.53</v>
      </c>
      <c r="E56" s="437">
        <v>0</v>
      </c>
      <c r="F56" s="419"/>
      <c r="G56" s="419">
        <f t="shared" ref="G56:X56" si="21">+$D$56/18</f>
        <v>-3933.9183333333331</v>
      </c>
      <c r="H56" s="419">
        <f t="shared" si="21"/>
        <v>-3933.9183333333331</v>
      </c>
      <c r="I56" s="419">
        <f t="shared" si="21"/>
        <v>-3933.9183333333331</v>
      </c>
      <c r="J56" s="419">
        <f t="shared" si="21"/>
        <v>-3933.9183333333331</v>
      </c>
      <c r="K56" s="419">
        <f t="shared" si="21"/>
        <v>-3933.9183333333331</v>
      </c>
      <c r="L56" s="419">
        <f t="shared" si="21"/>
        <v>-3933.9183333333331</v>
      </c>
      <c r="M56" s="419">
        <f t="shared" si="21"/>
        <v>-3933.9183333333331</v>
      </c>
      <c r="N56" s="419">
        <f t="shared" si="21"/>
        <v>-3933.9183333333331</v>
      </c>
      <c r="O56" s="419">
        <f t="shared" si="21"/>
        <v>-3933.9183333333331</v>
      </c>
      <c r="P56" s="419">
        <f t="shared" si="21"/>
        <v>-3933.9183333333331</v>
      </c>
      <c r="Q56" s="419">
        <f t="shared" si="21"/>
        <v>-3933.9183333333331</v>
      </c>
      <c r="R56" s="419">
        <f t="shared" si="21"/>
        <v>-3933.9183333333331</v>
      </c>
      <c r="S56" s="419">
        <f t="shared" si="21"/>
        <v>-3933.9183333333331</v>
      </c>
      <c r="T56" s="419">
        <f t="shared" si="21"/>
        <v>-3933.9183333333331</v>
      </c>
      <c r="U56" s="419">
        <f t="shared" si="21"/>
        <v>-3933.9183333333331</v>
      </c>
      <c r="V56" s="419">
        <f t="shared" si="21"/>
        <v>-3933.9183333333331</v>
      </c>
      <c r="W56" s="419">
        <f t="shared" si="21"/>
        <v>-3933.9183333333331</v>
      </c>
      <c r="X56" s="419">
        <f t="shared" si="21"/>
        <v>-3933.9183333333331</v>
      </c>
      <c r="Y56" s="419">
        <v>0</v>
      </c>
      <c r="Z56" s="419">
        <v>0</v>
      </c>
      <c r="AA56" s="419">
        <v>0</v>
      </c>
      <c r="AB56" s="419">
        <v>0</v>
      </c>
      <c r="AC56" s="419">
        <v>0</v>
      </c>
      <c r="AD56" s="419">
        <v>0</v>
      </c>
      <c r="AE56" s="419">
        <v>0</v>
      </c>
      <c r="AF56" s="419">
        <v>0</v>
      </c>
      <c r="AG56" s="419">
        <v>0</v>
      </c>
      <c r="AH56" s="419">
        <v>0</v>
      </c>
      <c r="AI56" s="419">
        <v>0</v>
      </c>
      <c r="AJ56" s="419">
        <v>0</v>
      </c>
      <c r="AK56" s="419">
        <v>0</v>
      </c>
      <c r="AL56" s="419">
        <v>0</v>
      </c>
      <c r="AM56" s="419">
        <v>0</v>
      </c>
      <c r="AN56" s="419">
        <v>0</v>
      </c>
      <c r="AO56" s="419">
        <v>0</v>
      </c>
      <c r="AP56" s="419">
        <v>0</v>
      </c>
      <c r="AQ56" s="419">
        <v>0</v>
      </c>
      <c r="AR56" s="419">
        <v>0</v>
      </c>
      <c r="AS56" s="419">
        <v>0</v>
      </c>
      <c r="AT56" s="419">
        <v>0</v>
      </c>
      <c r="AU56" s="419">
        <v>0</v>
      </c>
      <c r="AV56" s="419">
        <v>0</v>
      </c>
      <c r="AW56" s="419">
        <v>0</v>
      </c>
      <c r="AX56" s="419">
        <v>0</v>
      </c>
      <c r="AY56" s="419">
        <v>0</v>
      </c>
      <c r="AZ56" s="419">
        <v>0</v>
      </c>
      <c r="BA56" s="419">
        <v>0</v>
      </c>
      <c r="BB56" s="419">
        <v>0</v>
      </c>
      <c r="BC56" s="419"/>
      <c r="BD56" s="419"/>
      <c r="BE56" s="413">
        <f t="shared" si="16"/>
        <v>-70810.530000000013</v>
      </c>
      <c r="BF56" s="398"/>
      <c r="BG56" s="421">
        <f t="shared" si="11"/>
        <v>-70810.53</v>
      </c>
      <c r="BH56" s="398"/>
      <c r="BI56" s="191" t="b">
        <f t="shared" si="12"/>
        <v>1</v>
      </c>
      <c r="BJ56" s="440">
        <f t="shared" si="13"/>
        <v>0</v>
      </c>
    </row>
    <row r="57" spans="1:62" ht="15" customHeight="1">
      <c r="A57" s="419" t="str">
        <f>+'PRESUPUESTO GENERAL'!B49</f>
        <v>Comisión de Ventas</v>
      </c>
      <c r="B57" s="435"/>
      <c r="C57" s="436">
        <f>+-'PRESUPUESTO GENERAL'!H49</f>
        <v>-212431.58</v>
      </c>
      <c r="D57" s="422">
        <f t="shared" si="10"/>
        <v>-212431.58</v>
      </c>
      <c r="E57" s="437">
        <v>0</v>
      </c>
      <c r="F57" s="419"/>
      <c r="G57" s="419">
        <f>'FLUJO DE INGRESOS'!X125*-1</f>
        <v>-44.785065600000003</v>
      </c>
      <c r="H57" s="419">
        <f>'FLUJO DE INGRESOS'!Y125*-1</f>
        <v>-149.32423668000001</v>
      </c>
      <c r="I57" s="419">
        <f>'FLUJO DE INGRESOS'!Z125*-1</f>
        <v>-308.12057916000003</v>
      </c>
      <c r="J57" s="419">
        <f>'FLUJO DE INGRESOS'!AA125*-1</f>
        <v>-619.28732104000005</v>
      </c>
      <c r="K57" s="419">
        <f>'FLUJO DE INGRESOS'!AB125*-1</f>
        <v>-4516.4927955600006</v>
      </c>
      <c r="L57" s="419">
        <f>'FLUJO DE INGRESOS'!AC125*-1</f>
        <v>-6995.3256356400016</v>
      </c>
      <c r="M57" s="419">
        <f>'FLUJO DE INGRESOS'!AD125*-1</f>
        <v>-13523.847599279992</v>
      </c>
      <c r="N57" s="419">
        <f>'FLUJO DE INGRESOS'!AE125*-1</f>
        <v>-17823.005183679998</v>
      </c>
      <c r="O57" s="419">
        <f>'FLUJO DE INGRESOS'!AF125*-1</f>
        <v>-19652.68053451999</v>
      </c>
      <c r="P57" s="419">
        <f>'FLUJO DE INGRESOS'!AG125*-1</f>
        <v>-19534.826651919993</v>
      </c>
      <c r="Q57" s="419">
        <f>'FLUJO DE INGRESOS'!AH125*-1</f>
        <v>-21377.237010119996</v>
      </c>
      <c r="R57" s="419">
        <f>'FLUJO DE INGRESOS'!AI125*-1</f>
        <v>-23243.758731679995</v>
      </c>
      <c r="S57" s="419">
        <f>'FLUJO DE INGRESOS'!AJ125*-1</f>
        <v>-17320.220379999999</v>
      </c>
      <c r="T57" s="419">
        <f>'FLUJO DE INGRESOS'!AK125*-1</f>
        <v>-20359.045716279998</v>
      </c>
      <c r="U57" s="419">
        <f>'FLUJO DE INGRESOS'!AL125*-1</f>
        <v>-14240.353483359992</v>
      </c>
      <c r="V57" s="419">
        <f>'FLUJO DE INGRESOS'!AM125*-1</f>
        <v>-10482.198737479996</v>
      </c>
      <c r="W57" s="419">
        <f>'FLUJO DE INGRESOS'!AN125*-1</f>
        <v>-11471.453303999997</v>
      </c>
      <c r="X57" s="419">
        <f>'FLUJO DE INGRESOS'!AO125*-1</f>
        <v>-7274.7423959999987</v>
      </c>
      <c r="Y57" s="419">
        <f>'FLUJO DE INGRESOS'!AP125*-1</f>
        <v>-1754.7623729999998</v>
      </c>
      <c r="Z57" s="419">
        <f>'FLUJO DE INGRESOS'!AQ125*-1</f>
        <v>-1740.1088249999998</v>
      </c>
      <c r="AA57" s="419">
        <f>'FLUJO DE INGRESOS'!AR125*-1</f>
        <v>0</v>
      </c>
      <c r="AB57" s="419">
        <f>'FLUJO DE INGRESOS'!AS125*-1</f>
        <v>0</v>
      </c>
      <c r="AC57" s="419">
        <f>'FLUJO DE INGRESOS'!AT125*-1</f>
        <v>0</v>
      </c>
      <c r="AD57" s="419">
        <f>'FLUJO DE INGRESOS'!AU125*-1</f>
        <v>0</v>
      </c>
      <c r="AE57" s="419">
        <f>'FLUJO DE INGRESOS'!AV125*-1</f>
        <v>0</v>
      </c>
      <c r="AF57" s="419">
        <f>'FLUJO DE INGRESOS'!AW125*-1</f>
        <v>0</v>
      </c>
      <c r="AG57" s="419">
        <f>'FLUJO DE INGRESOS'!AX125*-1</f>
        <v>0</v>
      </c>
      <c r="AH57" s="419">
        <f>'FLUJO DE INGRESOS'!AY125*-1</f>
        <v>0</v>
      </c>
      <c r="AI57" s="419">
        <f>'FLUJO DE INGRESOS'!AZ125*-1</f>
        <v>0</v>
      </c>
      <c r="AJ57" s="419">
        <f>'FLUJO DE INGRESOS'!BA125*-1</f>
        <v>0</v>
      </c>
      <c r="AK57" s="419">
        <f>'FLUJO DE INGRESOS'!BB125*-1</f>
        <v>0</v>
      </c>
      <c r="AL57" s="419">
        <f>'FLUJO DE INGRESOS'!BC125*-1</f>
        <v>0</v>
      </c>
      <c r="AM57" s="419">
        <f>'FLUJO DE INGRESOS'!BD125*-1</f>
        <v>0</v>
      </c>
      <c r="AN57" s="419">
        <f>'FLUJO DE INGRESOS'!BE125*-1</f>
        <v>0</v>
      </c>
      <c r="AO57" s="419">
        <f>'FLUJO DE INGRESOS'!BF125*-1</f>
        <v>0</v>
      </c>
      <c r="AP57" s="419">
        <f>'FLUJO DE INGRESOS'!BG125*-1</f>
        <v>0</v>
      </c>
      <c r="AQ57" s="419">
        <f>'FLUJO DE INGRESOS'!BH125*-1</f>
        <v>0</v>
      </c>
      <c r="AR57" s="419">
        <f>'FLUJO DE INGRESOS'!BI125*-1</f>
        <v>0</v>
      </c>
      <c r="AS57" s="419">
        <f>'FLUJO DE INGRESOS'!BJ125*-1</f>
        <v>0</v>
      </c>
      <c r="AT57" s="419">
        <f>'FLUJO DE INGRESOS'!BK125*-1</f>
        <v>0</v>
      </c>
      <c r="AU57" s="419">
        <f>'FLUJO DE INGRESOS'!BL125*-1</f>
        <v>0</v>
      </c>
      <c r="AV57" s="419">
        <f>'FLUJO DE INGRESOS'!BM125*-1</f>
        <v>0</v>
      </c>
      <c r="AW57" s="419">
        <f>'FLUJO DE INGRESOS'!BN125*-1</f>
        <v>0</v>
      </c>
      <c r="AX57" s="419">
        <f>'FLUJO DE INGRESOS'!BO125*-1</f>
        <v>0</v>
      </c>
      <c r="AY57" s="419">
        <f>'FLUJO DE INGRESOS'!BP125*-1</f>
        <v>0</v>
      </c>
      <c r="AZ57" s="419">
        <f>'FLUJO DE INGRESOS'!BQ125*-1</f>
        <v>0</v>
      </c>
      <c r="BA57" s="419">
        <f>'FLUJO DE INGRESOS'!BR125*-1</f>
        <v>0</v>
      </c>
      <c r="BB57" s="419">
        <f>'FLUJO DE INGRESOS'!BS125*-1</f>
        <v>0</v>
      </c>
      <c r="BC57" s="419">
        <f>'FLUJO DE INGRESOS'!BT125*-1</f>
        <v>0</v>
      </c>
      <c r="BD57" s="419">
        <f>'FLUJO DE INGRESOS'!BU125*-1</f>
        <v>0</v>
      </c>
      <c r="BE57" s="413">
        <f t="shared" si="16"/>
        <v>-212431.57655999996</v>
      </c>
      <c r="BF57" s="398"/>
      <c r="BG57" s="421">
        <f t="shared" si="11"/>
        <v>-212431.58</v>
      </c>
      <c r="BH57" s="398"/>
      <c r="BI57" s="191" t="b">
        <f t="shared" si="12"/>
        <v>0</v>
      </c>
      <c r="BJ57" s="440">
        <f t="shared" si="13"/>
        <v>3.4400000295136124E-3</v>
      </c>
    </row>
    <row r="58" spans="1:62" ht="15" customHeight="1">
      <c r="A58" s="419" t="s">
        <v>512</v>
      </c>
      <c r="B58" s="435"/>
      <c r="C58" s="436">
        <f>-'PRESUPUESTO GENERAL'!H51</f>
        <v>-122299.31062845506</v>
      </c>
      <c r="D58" s="422">
        <f t="shared" si="10"/>
        <v>-122299.31062845506</v>
      </c>
      <c r="E58" s="437">
        <v>0</v>
      </c>
      <c r="F58" s="419"/>
      <c r="G58" s="419">
        <f t="shared" ref="G58:X58" si="22">$C$58/18</f>
        <v>-6794.4061460252815</v>
      </c>
      <c r="H58" s="419">
        <f t="shared" si="22"/>
        <v>-6794.4061460252815</v>
      </c>
      <c r="I58" s="419">
        <f t="shared" si="22"/>
        <v>-6794.4061460252815</v>
      </c>
      <c r="J58" s="419">
        <f t="shared" si="22"/>
        <v>-6794.4061460252815</v>
      </c>
      <c r="K58" s="419">
        <f t="shared" si="22"/>
        <v>-6794.4061460252815</v>
      </c>
      <c r="L58" s="419">
        <f t="shared" si="22"/>
        <v>-6794.4061460252815</v>
      </c>
      <c r="M58" s="419">
        <f t="shared" si="22"/>
        <v>-6794.4061460252815</v>
      </c>
      <c r="N58" s="419">
        <f t="shared" si="22"/>
        <v>-6794.4061460252815</v>
      </c>
      <c r="O58" s="419">
        <f t="shared" si="22"/>
        <v>-6794.4061460252815</v>
      </c>
      <c r="P58" s="419">
        <f t="shared" si="22"/>
        <v>-6794.4061460252815</v>
      </c>
      <c r="Q58" s="419">
        <f t="shared" si="22"/>
        <v>-6794.4061460252815</v>
      </c>
      <c r="R58" s="419">
        <f t="shared" si="22"/>
        <v>-6794.4061460252815</v>
      </c>
      <c r="S58" s="419">
        <f t="shared" si="22"/>
        <v>-6794.4061460252815</v>
      </c>
      <c r="T58" s="419">
        <f t="shared" si="22"/>
        <v>-6794.4061460252815</v>
      </c>
      <c r="U58" s="419">
        <f t="shared" si="22"/>
        <v>-6794.4061460252815</v>
      </c>
      <c r="V58" s="419">
        <f t="shared" si="22"/>
        <v>-6794.4061460252815</v>
      </c>
      <c r="W58" s="419">
        <f t="shared" si="22"/>
        <v>-6794.4061460252815</v>
      </c>
      <c r="X58" s="419">
        <f t="shared" si="22"/>
        <v>-6794.4061460252815</v>
      </c>
      <c r="Y58" s="419"/>
      <c r="Z58" s="419"/>
      <c r="AA58" s="419"/>
      <c r="AB58" s="419"/>
      <c r="AC58" s="419"/>
      <c r="AD58" s="419"/>
      <c r="AE58" s="419"/>
      <c r="AF58" s="419"/>
      <c r="AG58" s="419"/>
      <c r="AH58" s="419"/>
      <c r="AI58" s="419"/>
      <c r="AJ58" s="419"/>
      <c r="AK58" s="419"/>
      <c r="AL58" s="419"/>
      <c r="AM58" s="419"/>
      <c r="AN58" s="419"/>
      <c r="AO58" s="419"/>
      <c r="AP58" s="419"/>
      <c r="AQ58" s="419"/>
      <c r="AR58" s="419"/>
      <c r="AS58" s="419"/>
      <c r="AT58" s="419"/>
      <c r="AU58" s="419"/>
      <c r="AV58" s="419"/>
      <c r="AW58" s="419"/>
      <c r="AX58" s="419"/>
      <c r="AY58" s="419"/>
      <c r="AZ58" s="419"/>
      <c r="BA58" s="419"/>
      <c r="BB58" s="439"/>
      <c r="BC58" s="419"/>
      <c r="BD58" s="419"/>
      <c r="BE58" s="413">
        <f t="shared" si="16"/>
        <v>-122299.31062845512</v>
      </c>
      <c r="BF58" s="398"/>
      <c r="BG58" s="421">
        <f t="shared" si="11"/>
        <v>-122299.31062845506</v>
      </c>
      <c r="BH58" s="398"/>
      <c r="BI58" s="191" t="b">
        <f t="shared" si="12"/>
        <v>1</v>
      </c>
      <c r="BJ58" s="440">
        <f t="shared" si="13"/>
        <v>0</v>
      </c>
    </row>
    <row r="59" spans="1:62" ht="5.25" customHeight="1">
      <c r="A59" s="425"/>
      <c r="B59" s="425"/>
      <c r="C59" s="425"/>
      <c r="D59" s="425"/>
      <c r="E59" s="425"/>
      <c r="G59" s="398"/>
      <c r="H59" s="398"/>
      <c r="I59" s="398"/>
      <c r="J59" s="398"/>
      <c r="K59" s="398"/>
      <c r="L59" s="398"/>
      <c r="M59" s="398"/>
      <c r="N59" s="398"/>
      <c r="O59" s="398"/>
      <c r="P59" s="398"/>
      <c r="Q59" s="398"/>
      <c r="R59" s="398"/>
      <c r="S59" s="398"/>
      <c r="T59" s="398"/>
      <c r="U59" s="398"/>
      <c r="V59" s="398"/>
      <c r="W59" s="398"/>
      <c r="X59" s="398"/>
      <c r="Y59" s="398"/>
      <c r="Z59" s="398"/>
      <c r="AA59" s="398"/>
      <c r="AB59" s="398"/>
      <c r="AC59" s="398"/>
      <c r="AD59" s="398"/>
      <c r="AE59" s="398"/>
      <c r="AF59" s="398"/>
      <c r="AG59" s="398"/>
      <c r="AH59" s="398"/>
      <c r="AI59" s="398"/>
      <c r="AJ59" s="398"/>
      <c r="AK59" s="398"/>
      <c r="AL59" s="398"/>
      <c r="AM59" s="398"/>
      <c r="AN59" s="398"/>
      <c r="AO59" s="398"/>
      <c r="AP59" s="398"/>
      <c r="AQ59" s="398"/>
      <c r="AR59" s="398"/>
      <c r="AS59" s="398"/>
      <c r="AT59" s="398"/>
      <c r="AU59" s="398"/>
      <c r="AV59" s="398"/>
      <c r="AW59" s="398"/>
      <c r="AX59" s="398"/>
      <c r="AY59" s="398"/>
      <c r="AZ59" s="398"/>
      <c r="BA59" s="398"/>
      <c r="BB59" s="398"/>
      <c r="BC59" s="398"/>
      <c r="BD59" s="398"/>
      <c r="BE59" s="413">
        <f t="shared" si="16"/>
        <v>0</v>
      </c>
      <c r="BF59" s="398"/>
      <c r="BG59" s="398"/>
      <c r="BH59" s="398"/>
    </row>
    <row r="60" spans="1:62" ht="30.75" customHeight="1">
      <c r="A60" s="443" t="s">
        <v>513</v>
      </c>
      <c r="B60" s="444"/>
      <c r="C60" s="425"/>
      <c r="D60" s="425"/>
      <c r="E60" s="191"/>
      <c r="F60" s="399">
        <f t="shared" ref="F60:AO60" si="23">F30+F33</f>
        <v>-576259.26</v>
      </c>
      <c r="G60" s="399">
        <f t="shared" si="23"/>
        <v>-262138.6602198132</v>
      </c>
      <c r="H60" s="399">
        <f t="shared" si="23"/>
        <v>-258758.56035489318</v>
      </c>
      <c r="I60" s="399">
        <f>I30+I33</f>
        <v>-333212.3192657482</v>
      </c>
      <c r="J60" s="399">
        <f t="shared" si="23"/>
        <v>-323151.2612782949</v>
      </c>
      <c r="K60" s="399">
        <f t="shared" si="23"/>
        <v>-97723.173939288332</v>
      </c>
      <c r="L60" s="399">
        <f t="shared" si="23"/>
        <v>-17574.245443368272</v>
      </c>
      <c r="M60" s="399">
        <f t="shared" si="23"/>
        <v>193514.63138099143</v>
      </c>
      <c r="N60" s="399">
        <f t="shared" si="23"/>
        <v>398412.61731421499</v>
      </c>
      <c r="O60" s="399">
        <f t="shared" si="23"/>
        <v>457572.12032470806</v>
      </c>
      <c r="P60" s="399">
        <f t="shared" si="23"/>
        <v>448187.46896606236</v>
      </c>
      <c r="Q60" s="399">
        <f t="shared" si="23"/>
        <v>507758.73721452907</v>
      </c>
      <c r="R60" s="399">
        <f t="shared" si="23"/>
        <v>506640.67482394329</v>
      </c>
      <c r="S60" s="399">
        <f t="shared" si="23"/>
        <v>167930.04012353503</v>
      </c>
      <c r="T60" s="399">
        <f t="shared" si="23"/>
        <v>242046.26297552249</v>
      </c>
      <c r="U60" s="399">
        <f t="shared" si="23"/>
        <v>178273.10474853229</v>
      </c>
      <c r="V60" s="399">
        <f t="shared" si="23"/>
        <v>95725.430971733294</v>
      </c>
      <c r="W60" s="399">
        <f>W30+W33</f>
        <v>172606.28024333165</v>
      </c>
      <c r="X60" s="399">
        <f t="shared" si="23"/>
        <v>53081.324750811706</v>
      </c>
      <c r="Y60" s="399">
        <f t="shared" si="23"/>
        <v>52828.762726999994</v>
      </c>
      <c r="Z60" s="399">
        <f t="shared" si="23"/>
        <v>52354.964674999996</v>
      </c>
      <c r="AA60" s="399">
        <f t="shared" si="23"/>
        <v>0</v>
      </c>
      <c r="AB60" s="399">
        <f t="shared" si="23"/>
        <v>0</v>
      </c>
      <c r="AC60" s="399">
        <f t="shared" si="23"/>
        <v>0</v>
      </c>
      <c r="AD60" s="399">
        <f t="shared" si="23"/>
        <v>0</v>
      </c>
      <c r="AE60" s="399">
        <f t="shared" si="23"/>
        <v>0</v>
      </c>
      <c r="AF60" s="399">
        <f t="shared" si="23"/>
        <v>0</v>
      </c>
      <c r="AG60" s="399">
        <f t="shared" si="23"/>
        <v>0</v>
      </c>
      <c r="AH60" s="399">
        <f t="shared" si="23"/>
        <v>0</v>
      </c>
      <c r="AI60" s="399">
        <f t="shared" si="23"/>
        <v>0</v>
      </c>
      <c r="AJ60" s="399">
        <f t="shared" si="23"/>
        <v>0</v>
      </c>
      <c r="AK60" s="399">
        <f t="shared" si="23"/>
        <v>0</v>
      </c>
      <c r="AL60" s="399">
        <f t="shared" si="23"/>
        <v>0</v>
      </c>
      <c r="AM60" s="399">
        <f t="shared" si="23"/>
        <v>0</v>
      </c>
      <c r="AN60" s="399">
        <f t="shared" si="23"/>
        <v>0</v>
      </c>
      <c r="AO60" s="399">
        <f t="shared" si="23"/>
        <v>0</v>
      </c>
      <c r="AP60" s="399"/>
      <c r="AQ60" s="399"/>
      <c r="AR60" s="399"/>
      <c r="AS60" s="399"/>
      <c r="AT60" s="399"/>
      <c r="AU60" s="399"/>
      <c r="AV60" s="399"/>
      <c r="AW60" s="399"/>
      <c r="AX60" s="399"/>
      <c r="AY60" s="399"/>
      <c r="AZ60" s="399"/>
      <c r="BA60" s="399"/>
      <c r="BB60" s="399"/>
      <c r="BC60" s="399"/>
      <c r="BD60" s="399"/>
      <c r="BE60" s="413">
        <f t="shared" si="16"/>
        <v>1658114.9407385096</v>
      </c>
      <c r="BF60" s="398"/>
      <c r="BG60" s="398"/>
      <c r="BH60" s="398"/>
    </row>
    <row r="61" spans="1:62" ht="30.75" customHeight="1">
      <c r="A61" s="425"/>
      <c r="B61" s="425"/>
      <c r="C61" s="425"/>
      <c r="D61" s="425"/>
      <c r="G61" s="398"/>
      <c r="H61" s="398"/>
      <c r="I61" s="398"/>
      <c r="J61" s="398"/>
      <c r="K61" s="398"/>
      <c r="L61" s="398"/>
      <c r="M61" s="398"/>
      <c r="N61" s="398"/>
      <c r="O61" s="398"/>
      <c r="P61" s="398"/>
      <c r="Q61" s="398"/>
      <c r="R61" s="398"/>
      <c r="S61" s="398"/>
      <c r="T61" s="398"/>
      <c r="U61" s="398"/>
      <c r="V61" s="398"/>
      <c r="W61" s="398"/>
      <c r="X61" s="398"/>
      <c r="Y61" s="398"/>
      <c r="Z61" s="398"/>
      <c r="AA61" s="398"/>
      <c r="AB61" s="398"/>
      <c r="AC61" s="398"/>
      <c r="AD61" s="398"/>
      <c r="AE61" s="398"/>
      <c r="AF61" s="398"/>
      <c r="AG61" s="398"/>
      <c r="AH61" s="398"/>
      <c r="AI61" s="398"/>
      <c r="AJ61" s="398"/>
      <c r="AK61" s="398"/>
      <c r="AL61" s="398"/>
      <c r="AM61" s="398"/>
      <c r="AN61" s="398"/>
      <c r="AO61" s="398"/>
      <c r="AP61" s="398"/>
      <c r="AQ61" s="398"/>
      <c r="AR61" s="398"/>
      <c r="AS61" s="398"/>
      <c r="AT61" s="398"/>
      <c r="AU61" s="398"/>
      <c r="AV61" s="398"/>
      <c r="AW61" s="398"/>
      <c r="AX61" s="398"/>
      <c r="AY61" s="398"/>
      <c r="AZ61" s="398"/>
      <c r="BA61" s="398"/>
      <c r="BB61" s="398"/>
      <c r="BC61" s="398"/>
      <c r="BD61" s="398"/>
      <c r="BE61" s="413">
        <f t="shared" si="16"/>
        <v>0</v>
      </c>
      <c r="BF61" s="398"/>
      <c r="BG61" s="398"/>
      <c r="BH61" s="398"/>
    </row>
    <row r="62" spans="1:62" ht="15" customHeight="1">
      <c r="G62" s="406"/>
      <c r="H62" s="406"/>
      <c r="I62" s="406"/>
      <c r="J62" s="406"/>
      <c r="K62" s="406"/>
      <c r="L62" s="406"/>
      <c r="M62" s="406"/>
      <c r="N62" s="406"/>
      <c r="O62" s="406"/>
    </row>
    <row r="63" spans="1:62" ht="15" customHeight="1">
      <c r="G63" s="406"/>
      <c r="H63" s="406"/>
      <c r="I63" s="406"/>
      <c r="J63" s="406"/>
      <c r="K63" s="406"/>
      <c r="L63" s="406"/>
      <c r="M63" s="406"/>
      <c r="N63" s="406"/>
      <c r="O63" s="406"/>
    </row>
    <row r="64" spans="1:62" ht="15" customHeight="1">
      <c r="G64" s="406"/>
      <c r="H64" s="406"/>
      <c r="I64" s="406"/>
      <c r="J64" s="406"/>
      <c r="K64" s="406"/>
      <c r="L64" s="406"/>
      <c r="M64" s="406"/>
      <c r="N64" s="406"/>
      <c r="O64" s="406"/>
    </row>
    <row r="65" spans="7:15" ht="15" customHeight="1">
      <c r="G65" s="406"/>
      <c r="H65" s="406"/>
      <c r="I65" s="406"/>
      <c r="J65" s="406"/>
      <c r="K65" s="406"/>
      <c r="L65" s="406"/>
      <c r="M65" s="406"/>
      <c r="N65" s="406"/>
      <c r="O65" s="406"/>
    </row>
    <row r="66" spans="7:15" ht="15" customHeight="1">
      <c r="G66" s="406"/>
      <c r="H66" s="406"/>
      <c r="I66" s="406"/>
      <c r="J66" s="406"/>
      <c r="K66" s="406"/>
      <c r="L66" s="406"/>
      <c r="M66" s="406"/>
      <c r="N66" s="406"/>
      <c r="O66" s="406"/>
    </row>
    <row r="67" spans="7:15" ht="15" customHeight="1">
      <c r="G67" s="406"/>
      <c r="H67" s="406"/>
      <c r="I67" s="406"/>
      <c r="J67" s="406"/>
      <c r="K67" s="406"/>
      <c r="L67" s="406"/>
      <c r="M67" s="406"/>
      <c r="N67" s="406"/>
      <c r="O67" s="406"/>
    </row>
    <row r="68" spans="7:15" ht="15" customHeight="1">
      <c r="G68" s="406"/>
      <c r="H68" s="406"/>
      <c r="I68" s="406"/>
      <c r="J68" s="406"/>
      <c r="K68" s="406"/>
      <c r="L68" s="406"/>
      <c r="M68" s="406"/>
      <c r="N68" s="406"/>
      <c r="O68" s="406"/>
    </row>
    <row r="69" spans="7:15" ht="15" customHeight="1">
      <c r="G69" s="406"/>
      <c r="H69" s="406"/>
      <c r="I69" s="406"/>
      <c r="J69" s="406"/>
      <c r="K69" s="406"/>
      <c r="L69" s="406"/>
      <c r="M69" s="406"/>
      <c r="N69" s="406"/>
      <c r="O69" s="406"/>
    </row>
    <row r="70" spans="7:15" ht="15" customHeight="1">
      <c r="G70" s="406"/>
      <c r="H70" s="406"/>
      <c r="I70" s="406"/>
      <c r="J70" s="406"/>
      <c r="K70" s="406"/>
      <c r="L70" s="406"/>
      <c r="M70" s="406"/>
      <c r="N70" s="406"/>
      <c r="O70" s="406"/>
    </row>
    <row r="71" spans="7:15" ht="15" customHeight="1">
      <c r="G71" s="406"/>
      <c r="H71" s="406"/>
      <c r="I71" s="406"/>
      <c r="J71" s="406"/>
      <c r="K71" s="406"/>
      <c r="L71" s="406"/>
      <c r="M71" s="406"/>
      <c r="N71" s="406"/>
      <c r="O71" s="406"/>
    </row>
    <row r="72" spans="7:15" ht="15" customHeight="1">
      <c r="G72" s="406"/>
      <c r="H72" s="406"/>
      <c r="I72" s="406"/>
      <c r="J72" s="406"/>
      <c r="K72" s="406"/>
      <c r="L72" s="406"/>
      <c r="M72" s="406"/>
      <c r="N72" s="406"/>
      <c r="O72" s="406"/>
    </row>
    <row r="73" spans="7:15" ht="15" customHeight="1">
      <c r="G73" s="406"/>
      <c r="H73" s="406"/>
      <c r="I73" s="406"/>
      <c r="J73" s="406"/>
      <c r="K73" s="406"/>
      <c r="L73" s="406"/>
      <c r="M73" s="406"/>
      <c r="N73" s="406"/>
      <c r="O73" s="406"/>
    </row>
    <row r="74" spans="7:15" ht="15" customHeight="1">
      <c r="G74" s="406"/>
      <c r="H74" s="406"/>
      <c r="I74" s="406"/>
      <c r="J74" s="406"/>
      <c r="K74" s="406"/>
      <c r="L74" s="406"/>
      <c r="M74" s="406"/>
      <c r="N74" s="406"/>
      <c r="O74" s="406"/>
    </row>
    <row r="75" spans="7:15" ht="15" customHeight="1">
      <c r="G75" s="406"/>
      <c r="H75" s="406"/>
      <c r="I75" s="406"/>
      <c r="J75" s="406"/>
      <c r="K75" s="406"/>
      <c r="L75" s="406"/>
      <c r="M75" s="406"/>
      <c r="N75" s="406"/>
      <c r="O75" s="406"/>
    </row>
    <row r="76" spans="7:15" ht="15" customHeight="1">
      <c r="G76" s="406"/>
      <c r="H76" s="406"/>
      <c r="I76" s="406"/>
      <c r="J76" s="406"/>
      <c r="K76" s="406"/>
      <c r="L76" s="406"/>
      <c r="M76" s="406"/>
      <c r="N76" s="406"/>
      <c r="O76" s="406"/>
    </row>
    <row r="77" spans="7:15" ht="15" customHeight="1">
      <c r="G77" s="406"/>
      <c r="H77" s="406"/>
      <c r="I77" s="406"/>
      <c r="J77" s="406"/>
      <c r="K77" s="406"/>
      <c r="L77" s="406"/>
      <c r="M77" s="406"/>
      <c r="N77" s="406"/>
      <c r="O77" s="406"/>
    </row>
    <row r="78" spans="7:15" ht="15" customHeight="1">
      <c r="G78" s="406"/>
      <c r="H78" s="406"/>
      <c r="I78" s="406"/>
      <c r="J78" s="406"/>
      <c r="K78" s="406"/>
      <c r="L78" s="406"/>
      <c r="M78" s="406"/>
      <c r="N78" s="406"/>
      <c r="O78" s="406"/>
    </row>
    <row r="79" spans="7:15" ht="15" customHeight="1">
      <c r="G79" s="406"/>
      <c r="H79" s="406"/>
      <c r="I79" s="406"/>
      <c r="J79" s="406"/>
      <c r="K79" s="406"/>
      <c r="L79" s="406"/>
      <c r="M79" s="406"/>
      <c r="N79" s="406"/>
      <c r="O79" s="406"/>
    </row>
    <row r="80" spans="7:15" ht="15" customHeight="1">
      <c r="G80" s="406"/>
      <c r="H80" s="406"/>
      <c r="I80" s="406"/>
      <c r="J80" s="406"/>
      <c r="K80" s="406"/>
      <c r="L80" s="406"/>
      <c r="M80" s="406"/>
      <c r="N80" s="406"/>
      <c r="O80" s="406"/>
    </row>
    <row r="81" spans="7:15" ht="15" customHeight="1">
      <c r="G81" s="406"/>
      <c r="H81" s="406"/>
      <c r="I81" s="406"/>
      <c r="J81" s="406"/>
      <c r="K81" s="406"/>
      <c r="L81" s="406"/>
      <c r="M81" s="406"/>
      <c r="N81" s="406"/>
      <c r="O81" s="406"/>
    </row>
    <row r="82" spans="7:15" ht="15" customHeight="1">
      <c r="G82" s="406"/>
      <c r="H82" s="406"/>
      <c r="I82" s="406"/>
      <c r="J82" s="406"/>
      <c r="K82" s="406"/>
      <c r="L82" s="406"/>
      <c r="M82" s="406"/>
      <c r="N82" s="406"/>
      <c r="O82" s="406"/>
    </row>
    <row r="83" spans="7:15" ht="15" customHeight="1">
      <c r="G83" s="406"/>
      <c r="H83" s="406"/>
      <c r="I83" s="406"/>
      <c r="J83" s="406"/>
      <c r="K83" s="406"/>
      <c r="L83" s="406"/>
      <c r="M83" s="406"/>
      <c r="N83" s="406"/>
      <c r="O83" s="406"/>
    </row>
    <row r="84" spans="7:15" ht="15" customHeight="1">
      <c r="G84" s="406"/>
      <c r="H84" s="406"/>
      <c r="I84" s="406"/>
      <c r="J84" s="406"/>
      <c r="K84" s="406"/>
      <c r="L84" s="406"/>
      <c r="M84" s="406"/>
      <c r="N84" s="406"/>
      <c r="O84" s="406"/>
    </row>
    <row r="85" spans="7:15" ht="15" customHeight="1">
      <c r="G85" s="406"/>
      <c r="H85" s="406"/>
      <c r="I85" s="406"/>
      <c r="J85" s="406"/>
      <c r="K85" s="406"/>
      <c r="L85" s="406"/>
      <c r="M85" s="406"/>
      <c r="N85" s="406"/>
      <c r="O85" s="406"/>
    </row>
    <row r="86" spans="7:15" ht="15" customHeight="1">
      <c r="G86" s="406"/>
      <c r="H86" s="406"/>
      <c r="I86" s="406"/>
      <c r="J86" s="406"/>
      <c r="K86" s="406"/>
      <c r="L86" s="406"/>
      <c r="M86" s="406"/>
      <c r="N86" s="406"/>
      <c r="O86" s="406"/>
    </row>
    <row r="87" spans="7:15" ht="15" customHeight="1">
      <c r="G87" s="406"/>
      <c r="H87" s="406"/>
      <c r="I87" s="406"/>
      <c r="J87" s="406"/>
      <c r="K87" s="406"/>
      <c r="L87" s="406"/>
      <c r="M87" s="406"/>
      <c r="N87" s="406"/>
      <c r="O87" s="406"/>
    </row>
    <row r="88" spans="7:15" ht="15" customHeight="1">
      <c r="G88" s="406"/>
      <c r="H88" s="406"/>
      <c r="I88" s="406"/>
      <c r="J88" s="406"/>
      <c r="K88" s="406"/>
      <c r="L88" s="406"/>
      <c r="M88" s="406"/>
      <c r="N88" s="406"/>
      <c r="O88" s="406"/>
    </row>
    <row r="89" spans="7:15" ht="15" customHeight="1">
      <c r="G89" s="406"/>
      <c r="H89" s="406"/>
      <c r="I89" s="406"/>
      <c r="J89" s="406"/>
      <c r="K89" s="406"/>
      <c r="L89" s="406"/>
      <c r="M89" s="406"/>
      <c r="N89" s="406"/>
      <c r="O89" s="406"/>
    </row>
    <row r="90" spans="7:15" ht="15" customHeight="1">
      <c r="G90" s="406"/>
      <c r="H90" s="406"/>
      <c r="I90" s="406"/>
      <c r="J90" s="406"/>
      <c r="K90" s="406"/>
      <c r="L90" s="406"/>
      <c r="M90" s="406"/>
      <c r="N90" s="406"/>
      <c r="O90" s="406"/>
    </row>
    <row r="91" spans="7:15" ht="15" customHeight="1">
      <c r="G91" s="406"/>
      <c r="H91" s="406"/>
      <c r="I91" s="406"/>
      <c r="J91" s="406"/>
      <c r="K91" s="406"/>
      <c r="L91" s="406"/>
      <c r="M91" s="406"/>
      <c r="N91" s="406"/>
      <c r="O91" s="406"/>
    </row>
    <row r="92" spans="7:15" ht="15" customHeight="1">
      <c r="G92" s="406"/>
      <c r="H92" s="406"/>
      <c r="I92" s="406"/>
      <c r="J92" s="406"/>
      <c r="K92" s="406"/>
      <c r="L92" s="406"/>
      <c r="M92" s="406"/>
      <c r="N92" s="406"/>
      <c r="O92" s="406"/>
    </row>
    <row r="93" spans="7:15" ht="15" customHeight="1">
      <c r="G93" s="406"/>
      <c r="H93" s="406"/>
      <c r="I93" s="406"/>
      <c r="J93" s="406"/>
      <c r="K93" s="406"/>
      <c r="L93" s="406"/>
      <c r="M93" s="406"/>
      <c r="N93" s="406"/>
      <c r="O93" s="406"/>
    </row>
    <row r="94" spans="7:15" ht="15" customHeight="1">
      <c r="G94" s="406"/>
      <c r="H94" s="406"/>
      <c r="I94" s="406"/>
      <c r="J94" s="406"/>
      <c r="K94" s="406"/>
      <c r="L94" s="406"/>
      <c r="M94" s="406"/>
      <c r="N94" s="406"/>
      <c r="O94" s="406"/>
    </row>
    <row r="95" spans="7:15" ht="15" customHeight="1">
      <c r="G95" s="406"/>
      <c r="H95" s="406"/>
      <c r="I95" s="406"/>
      <c r="J95" s="406"/>
      <c r="K95" s="406"/>
      <c r="L95" s="406"/>
      <c r="M95" s="406"/>
      <c r="N95" s="406"/>
      <c r="O95" s="406"/>
    </row>
    <row r="96" spans="7:15" ht="15" customHeight="1">
      <c r="G96" s="406"/>
      <c r="H96" s="406"/>
      <c r="I96" s="406"/>
      <c r="J96" s="406"/>
      <c r="K96" s="406"/>
      <c r="L96" s="406"/>
      <c r="M96" s="406"/>
      <c r="N96" s="406"/>
      <c r="O96" s="406"/>
    </row>
    <row r="97" spans="7:15" ht="15" customHeight="1">
      <c r="G97" s="406"/>
      <c r="H97" s="406"/>
      <c r="I97" s="406"/>
      <c r="J97" s="406"/>
      <c r="K97" s="406"/>
      <c r="L97" s="406"/>
      <c r="M97" s="406"/>
      <c r="N97" s="406"/>
      <c r="O97" s="406"/>
    </row>
    <row r="98" spans="7:15" ht="15" customHeight="1">
      <c r="G98" s="406"/>
      <c r="H98" s="406"/>
      <c r="I98" s="406"/>
      <c r="J98" s="406"/>
      <c r="K98" s="406"/>
      <c r="L98" s="406"/>
      <c r="M98" s="406"/>
      <c r="N98" s="406"/>
      <c r="O98" s="406"/>
    </row>
    <row r="99" spans="7:15" ht="15" customHeight="1">
      <c r="G99" s="406"/>
      <c r="H99" s="406"/>
      <c r="I99" s="406"/>
      <c r="J99" s="406"/>
      <c r="K99" s="406"/>
      <c r="L99" s="406"/>
      <c r="M99" s="406"/>
      <c r="N99" s="406"/>
      <c r="O99" s="406"/>
    </row>
    <row r="100" spans="7:15" ht="15" customHeight="1">
      <c r="G100" s="406"/>
      <c r="H100" s="406"/>
      <c r="I100" s="406"/>
      <c r="J100" s="406"/>
      <c r="K100" s="406"/>
      <c r="L100" s="406"/>
      <c r="M100" s="406"/>
      <c r="N100" s="406"/>
      <c r="O100" s="406"/>
    </row>
    <row r="101" spans="7:15" ht="15" customHeight="1">
      <c r="G101" s="406"/>
      <c r="H101" s="406"/>
      <c r="I101" s="406"/>
      <c r="J101" s="406"/>
      <c r="K101" s="406"/>
      <c r="L101" s="406"/>
      <c r="M101" s="406"/>
      <c r="N101" s="406"/>
      <c r="O101" s="406"/>
    </row>
    <row r="102" spans="7:15" ht="15" customHeight="1">
      <c r="G102" s="406"/>
      <c r="H102" s="406"/>
      <c r="I102" s="406"/>
      <c r="J102" s="406"/>
      <c r="K102" s="406"/>
      <c r="L102" s="406"/>
      <c r="M102" s="406"/>
      <c r="N102" s="406"/>
      <c r="O102" s="406"/>
    </row>
    <row r="103" spans="7:15" ht="15" customHeight="1">
      <c r="G103" s="406"/>
      <c r="H103" s="406"/>
      <c r="I103" s="406"/>
      <c r="J103" s="406"/>
      <c r="K103" s="406"/>
      <c r="L103" s="406"/>
      <c r="M103" s="406"/>
      <c r="N103" s="406"/>
      <c r="O103" s="406"/>
    </row>
    <row r="104" spans="7:15" ht="15" customHeight="1">
      <c r="G104" s="406"/>
      <c r="H104" s="406"/>
      <c r="I104" s="406"/>
      <c r="J104" s="406"/>
      <c r="K104" s="406"/>
      <c r="L104" s="406"/>
      <c r="M104" s="406"/>
      <c r="N104" s="406"/>
      <c r="O104" s="406"/>
    </row>
    <row r="105" spans="7:15" ht="15" customHeight="1">
      <c r="G105" s="406"/>
      <c r="H105" s="406"/>
      <c r="I105" s="406"/>
      <c r="J105" s="406"/>
      <c r="K105" s="406"/>
      <c r="L105" s="406"/>
      <c r="M105" s="406"/>
      <c r="N105" s="406"/>
      <c r="O105" s="406"/>
    </row>
    <row r="106" spans="7:15" ht="15" customHeight="1">
      <c r="G106" s="406"/>
      <c r="H106" s="406"/>
      <c r="I106" s="406"/>
      <c r="J106" s="406"/>
      <c r="K106" s="406"/>
      <c r="L106" s="406"/>
      <c r="M106" s="406"/>
      <c r="N106" s="406"/>
      <c r="O106" s="406"/>
    </row>
    <row r="107" spans="7:15" ht="15" customHeight="1">
      <c r="G107" s="406"/>
      <c r="H107" s="406"/>
      <c r="I107" s="406"/>
      <c r="J107" s="406"/>
      <c r="K107" s="406"/>
      <c r="L107" s="406"/>
      <c r="M107" s="406"/>
      <c r="N107" s="406"/>
      <c r="O107" s="406"/>
    </row>
    <row r="108" spans="7:15" ht="15" customHeight="1">
      <c r="G108" s="406"/>
      <c r="H108" s="406"/>
      <c r="I108" s="406"/>
      <c r="J108" s="406"/>
      <c r="K108" s="406"/>
      <c r="L108" s="406"/>
      <c r="M108" s="406"/>
      <c r="N108" s="406"/>
      <c r="O108" s="406"/>
    </row>
    <row r="109" spans="7:15" ht="15" customHeight="1">
      <c r="G109" s="406"/>
      <c r="H109" s="406"/>
      <c r="I109" s="406"/>
      <c r="J109" s="406"/>
      <c r="K109" s="406"/>
      <c r="L109" s="406"/>
      <c r="M109" s="406"/>
      <c r="N109" s="406"/>
      <c r="O109" s="406"/>
    </row>
    <row r="110" spans="7:15" ht="15" customHeight="1">
      <c r="G110" s="406"/>
      <c r="H110" s="406"/>
      <c r="I110" s="406"/>
      <c r="J110" s="406"/>
      <c r="K110" s="406"/>
      <c r="L110" s="406"/>
      <c r="M110" s="406"/>
      <c r="N110" s="406"/>
      <c r="O110" s="406"/>
    </row>
    <row r="111" spans="7:15" ht="15" customHeight="1">
      <c r="G111" s="406"/>
      <c r="H111" s="406"/>
      <c r="I111" s="406"/>
      <c r="J111" s="406"/>
      <c r="K111" s="406"/>
      <c r="L111" s="406"/>
      <c r="M111" s="406"/>
      <c r="N111" s="406"/>
      <c r="O111" s="406"/>
    </row>
    <row r="112" spans="7:15" ht="15" customHeight="1">
      <c r="G112" s="406"/>
      <c r="H112" s="406"/>
      <c r="I112" s="406"/>
      <c r="J112" s="406"/>
      <c r="K112" s="406"/>
      <c r="L112" s="406"/>
      <c r="M112" s="406"/>
      <c r="N112" s="406"/>
      <c r="O112" s="406"/>
    </row>
    <row r="113" spans="7:15" ht="15" customHeight="1">
      <c r="G113" s="406"/>
      <c r="H113" s="406"/>
      <c r="I113" s="406"/>
      <c r="J113" s="406"/>
      <c r="K113" s="406"/>
      <c r="L113" s="406"/>
      <c r="M113" s="406"/>
      <c r="N113" s="406"/>
      <c r="O113" s="406"/>
    </row>
    <row r="114" spans="7:15" ht="15" customHeight="1">
      <c r="G114" s="406"/>
      <c r="H114" s="406"/>
      <c r="I114" s="406"/>
      <c r="J114" s="406"/>
      <c r="K114" s="406"/>
      <c r="L114" s="406"/>
      <c r="M114" s="406"/>
      <c r="N114" s="406"/>
      <c r="O114" s="406"/>
    </row>
    <row r="115" spans="7:15" ht="15" customHeight="1">
      <c r="G115" s="406"/>
      <c r="H115" s="406"/>
      <c r="I115" s="406"/>
      <c r="J115" s="406"/>
      <c r="K115" s="406"/>
      <c r="L115" s="406"/>
      <c r="M115" s="406"/>
      <c r="N115" s="406"/>
      <c r="O115" s="406"/>
    </row>
    <row r="116" spans="7:15" ht="15" customHeight="1">
      <c r="G116" s="406"/>
      <c r="H116" s="406"/>
      <c r="I116" s="406"/>
      <c r="J116" s="406"/>
      <c r="K116" s="406"/>
      <c r="L116" s="406"/>
      <c r="M116" s="406"/>
      <c r="N116" s="406"/>
      <c r="O116" s="406"/>
    </row>
    <row r="117" spans="7:15" ht="15" customHeight="1">
      <c r="G117" s="406"/>
      <c r="H117" s="406"/>
      <c r="I117" s="406"/>
      <c r="J117" s="406"/>
      <c r="K117" s="406"/>
      <c r="L117" s="406"/>
      <c r="M117" s="406"/>
      <c r="N117" s="406"/>
      <c r="O117" s="406"/>
    </row>
    <row r="118" spans="7:15" ht="15" customHeight="1">
      <c r="G118" s="406"/>
      <c r="H118" s="406"/>
      <c r="I118" s="406"/>
      <c r="J118" s="406"/>
      <c r="K118" s="406"/>
      <c r="L118" s="406"/>
      <c r="M118" s="406"/>
      <c r="N118" s="406"/>
      <c r="O118" s="406"/>
    </row>
    <row r="119" spans="7:15" ht="15" customHeight="1">
      <c r="G119" s="406"/>
      <c r="H119" s="406"/>
      <c r="I119" s="406"/>
      <c r="J119" s="406"/>
      <c r="K119" s="406"/>
      <c r="L119" s="406"/>
      <c r="M119" s="406"/>
      <c r="N119" s="406"/>
      <c r="O119" s="406"/>
    </row>
    <row r="120" spans="7:15" ht="15" customHeight="1">
      <c r="G120" s="406"/>
      <c r="H120" s="406"/>
      <c r="I120" s="406"/>
      <c r="J120" s="406"/>
      <c r="K120" s="406"/>
      <c r="L120" s="406"/>
      <c r="M120" s="406"/>
      <c r="N120" s="406"/>
      <c r="O120" s="406"/>
    </row>
    <row r="121" spans="7:15" ht="15" customHeight="1">
      <c r="G121" s="406"/>
      <c r="H121" s="406"/>
      <c r="I121" s="406"/>
      <c r="J121" s="406"/>
      <c r="K121" s="406"/>
      <c r="L121" s="406"/>
      <c r="M121" s="406"/>
      <c r="N121" s="406"/>
      <c r="O121" s="406"/>
    </row>
    <row r="122" spans="7:15" ht="15" customHeight="1">
      <c r="G122" s="406"/>
      <c r="H122" s="406"/>
      <c r="I122" s="406"/>
      <c r="J122" s="406"/>
      <c r="K122" s="406"/>
      <c r="L122" s="406"/>
      <c r="M122" s="406"/>
      <c r="N122" s="406"/>
      <c r="O122" s="406"/>
    </row>
    <row r="123" spans="7:15" ht="15" customHeight="1">
      <c r="G123" s="406"/>
      <c r="H123" s="406"/>
      <c r="I123" s="406"/>
      <c r="J123" s="406"/>
      <c r="K123" s="406"/>
      <c r="L123" s="406"/>
      <c r="M123" s="406"/>
      <c r="N123" s="406"/>
      <c r="O123" s="406"/>
    </row>
    <row r="124" spans="7:15" ht="15" customHeight="1">
      <c r="G124" s="406"/>
      <c r="H124" s="406"/>
      <c r="I124" s="406"/>
      <c r="J124" s="406"/>
      <c r="K124" s="406"/>
      <c r="L124" s="406"/>
      <c r="M124" s="406"/>
      <c r="N124" s="406"/>
      <c r="O124" s="406"/>
    </row>
    <row r="125" spans="7:15" ht="15" customHeight="1">
      <c r="G125" s="406"/>
      <c r="H125" s="406"/>
      <c r="I125" s="406"/>
      <c r="J125" s="406"/>
      <c r="K125" s="406"/>
      <c r="L125" s="406"/>
      <c r="M125" s="406"/>
      <c r="N125" s="406"/>
      <c r="O125" s="406"/>
    </row>
    <row r="126" spans="7:15" ht="15" customHeight="1">
      <c r="G126" s="406"/>
      <c r="H126" s="406"/>
      <c r="I126" s="406"/>
      <c r="J126" s="406"/>
      <c r="K126" s="406"/>
      <c r="L126" s="406"/>
      <c r="M126" s="406"/>
      <c r="N126" s="406"/>
      <c r="O126" s="406"/>
    </row>
    <row r="127" spans="7:15" ht="15" customHeight="1">
      <c r="G127" s="406"/>
      <c r="H127" s="406"/>
      <c r="I127" s="406"/>
      <c r="J127" s="406"/>
      <c r="K127" s="406"/>
      <c r="L127" s="406"/>
      <c r="M127" s="406"/>
      <c r="N127" s="406"/>
      <c r="O127" s="406"/>
    </row>
    <row r="128" spans="7:15" ht="15" customHeight="1">
      <c r="G128" s="406"/>
      <c r="H128" s="406"/>
      <c r="I128" s="406"/>
      <c r="J128" s="406"/>
      <c r="K128" s="406"/>
      <c r="L128" s="406"/>
      <c r="M128" s="406"/>
      <c r="N128" s="406"/>
      <c r="O128" s="406"/>
    </row>
    <row r="129" spans="7:15" ht="15" customHeight="1">
      <c r="G129" s="406"/>
      <c r="H129" s="406"/>
      <c r="I129" s="406"/>
      <c r="J129" s="406"/>
      <c r="K129" s="406"/>
      <c r="L129" s="406"/>
      <c r="M129" s="406"/>
      <c r="N129" s="406"/>
      <c r="O129" s="406"/>
    </row>
    <row r="130" spans="7:15" ht="15" customHeight="1">
      <c r="G130" s="406"/>
      <c r="H130" s="406"/>
      <c r="I130" s="406"/>
      <c r="J130" s="406"/>
      <c r="K130" s="406"/>
      <c r="L130" s="406"/>
      <c r="M130" s="406"/>
      <c r="N130" s="406"/>
      <c r="O130" s="406"/>
    </row>
    <row r="131" spans="7:15" ht="15" customHeight="1">
      <c r="G131" s="406"/>
      <c r="H131" s="406"/>
      <c r="I131" s="406"/>
      <c r="J131" s="406"/>
      <c r="K131" s="406"/>
      <c r="L131" s="406"/>
      <c r="M131" s="406"/>
      <c r="N131" s="406"/>
      <c r="O131" s="406"/>
    </row>
    <row r="132" spans="7:15" ht="15" customHeight="1">
      <c r="G132" s="406"/>
      <c r="H132" s="406"/>
      <c r="I132" s="406"/>
      <c r="J132" s="406"/>
      <c r="K132" s="406"/>
      <c r="L132" s="406"/>
      <c r="M132" s="406"/>
      <c r="N132" s="406"/>
      <c r="O132" s="406"/>
    </row>
    <row r="133" spans="7:15" ht="15" customHeight="1">
      <c r="G133" s="406"/>
      <c r="H133" s="406"/>
      <c r="I133" s="406"/>
      <c r="J133" s="406"/>
      <c r="K133" s="406"/>
      <c r="L133" s="406"/>
      <c r="M133" s="406"/>
      <c r="N133" s="406"/>
      <c r="O133" s="406"/>
    </row>
    <row r="134" spans="7:15" ht="15" customHeight="1">
      <c r="G134" s="406"/>
      <c r="H134" s="406"/>
      <c r="I134" s="406"/>
      <c r="J134" s="406"/>
      <c r="K134" s="406"/>
      <c r="L134" s="406"/>
      <c r="M134" s="406"/>
      <c r="N134" s="406"/>
      <c r="O134" s="406"/>
    </row>
    <row r="135" spans="7:15" ht="15" customHeight="1">
      <c r="G135" s="406"/>
      <c r="H135" s="406"/>
      <c r="I135" s="406"/>
      <c r="J135" s="406"/>
      <c r="K135" s="406"/>
      <c r="L135" s="406"/>
      <c r="M135" s="406"/>
      <c r="N135" s="406"/>
      <c r="O135" s="406"/>
    </row>
    <row r="136" spans="7:15" ht="15" customHeight="1">
      <c r="G136" s="406"/>
      <c r="H136" s="406"/>
      <c r="I136" s="406"/>
      <c r="J136" s="406"/>
      <c r="K136" s="406"/>
      <c r="L136" s="406"/>
      <c r="M136" s="406"/>
      <c r="N136" s="406"/>
      <c r="O136" s="406"/>
    </row>
    <row r="137" spans="7:15" ht="15" customHeight="1">
      <c r="G137" s="406"/>
      <c r="H137" s="406"/>
      <c r="I137" s="406"/>
      <c r="J137" s="406"/>
      <c r="K137" s="406"/>
      <c r="L137" s="406"/>
      <c r="M137" s="406"/>
      <c r="N137" s="406"/>
      <c r="O137" s="406"/>
    </row>
    <row r="138" spans="7:15" ht="15" customHeight="1">
      <c r="G138" s="406"/>
      <c r="H138" s="406"/>
      <c r="I138" s="406"/>
      <c r="J138" s="406"/>
      <c r="K138" s="406"/>
      <c r="L138" s="406"/>
      <c r="M138" s="406"/>
      <c r="N138" s="406"/>
      <c r="O138" s="406"/>
    </row>
    <row r="139" spans="7:15" ht="15" customHeight="1">
      <c r="G139" s="406"/>
      <c r="H139" s="406"/>
      <c r="I139" s="406"/>
      <c r="J139" s="406"/>
      <c r="K139" s="406"/>
      <c r="L139" s="406"/>
      <c r="M139" s="406"/>
      <c r="N139" s="406"/>
      <c r="O139" s="406"/>
    </row>
    <row r="140" spans="7:15" ht="15" customHeight="1">
      <c r="G140" s="406"/>
      <c r="H140" s="406"/>
      <c r="I140" s="406"/>
      <c r="J140" s="406"/>
      <c r="K140" s="406"/>
      <c r="L140" s="406"/>
      <c r="M140" s="406"/>
      <c r="N140" s="406"/>
      <c r="O140" s="406"/>
    </row>
    <row r="141" spans="7:15" ht="15" customHeight="1">
      <c r="G141" s="406"/>
      <c r="H141" s="406"/>
      <c r="I141" s="406"/>
      <c r="J141" s="406"/>
      <c r="K141" s="406"/>
      <c r="L141" s="406"/>
      <c r="M141" s="406"/>
      <c r="N141" s="406"/>
      <c r="O141" s="406"/>
    </row>
    <row r="142" spans="7:15" ht="15" customHeight="1">
      <c r="G142" s="406"/>
      <c r="H142" s="406"/>
      <c r="I142" s="406"/>
      <c r="J142" s="406"/>
      <c r="K142" s="406"/>
      <c r="L142" s="406"/>
      <c r="M142" s="406"/>
      <c r="N142" s="406"/>
      <c r="O142" s="406"/>
    </row>
    <row r="143" spans="7:15" ht="15" customHeight="1">
      <c r="G143" s="406"/>
      <c r="H143" s="406"/>
      <c r="I143" s="406"/>
      <c r="J143" s="406"/>
      <c r="K143" s="406"/>
      <c r="L143" s="406"/>
      <c r="M143" s="406"/>
      <c r="N143" s="406"/>
      <c r="O143" s="406"/>
    </row>
    <row r="144" spans="7:15" ht="15" customHeight="1">
      <c r="G144" s="406"/>
      <c r="H144" s="406"/>
      <c r="I144" s="406"/>
      <c r="J144" s="406"/>
      <c r="K144" s="406"/>
      <c r="L144" s="406"/>
      <c r="M144" s="406"/>
      <c r="N144" s="406"/>
      <c r="O144" s="406"/>
    </row>
    <row r="145" spans="7:15" ht="15" customHeight="1">
      <c r="G145" s="406"/>
      <c r="H145" s="406"/>
      <c r="I145" s="406"/>
      <c r="J145" s="406"/>
      <c r="K145" s="406"/>
      <c r="L145" s="406"/>
      <c r="M145" s="406"/>
      <c r="N145" s="406"/>
      <c r="O145" s="406"/>
    </row>
    <row r="146" spans="7:15" ht="15" customHeight="1">
      <c r="G146" s="406"/>
      <c r="H146" s="406"/>
      <c r="I146" s="406"/>
      <c r="J146" s="406"/>
      <c r="K146" s="406"/>
      <c r="L146" s="406"/>
      <c r="M146" s="406"/>
      <c r="N146" s="406"/>
      <c r="O146" s="406"/>
    </row>
    <row r="147" spans="7:15" ht="15" customHeight="1">
      <c r="G147" s="406"/>
      <c r="H147" s="406"/>
      <c r="I147" s="406"/>
      <c r="J147" s="406"/>
      <c r="K147" s="406"/>
      <c r="L147" s="406"/>
      <c r="M147" s="406"/>
      <c r="N147" s="406"/>
      <c r="O147" s="406"/>
    </row>
    <row r="148" spans="7:15" ht="15" customHeight="1">
      <c r="G148" s="406"/>
      <c r="H148" s="406"/>
      <c r="I148" s="406"/>
      <c r="J148" s="406"/>
      <c r="K148" s="406"/>
      <c r="L148" s="406"/>
      <c r="M148" s="406"/>
      <c r="N148" s="406"/>
      <c r="O148" s="406"/>
    </row>
    <row r="149" spans="7:15" ht="15" customHeight="1">
      <c r="G149" s="406"/>
      <c r="H149" s="406"/>
      <c r="I149" s="406"/>
      <c r="J149" s="406"/>
      <c r="K149" s="406"/>
      <c r="L149" s="406"/>
      <c r="M149" s="406"/>
      <c r="N149" s="406"/>
      <c r="O149" s="406"/>
    </row>
    <row r="150" spans="7:15" ht="15" customHeight="1">
      <c r="G150" s="406"/>
      <c r="H150" s="406"/>
      <c r="I150" s="406"/>
      <c r="J150" s="406"/>
      <c r="K150" s="406"/>
      <c r="L150" s="406"/>
      <c r="M150" s="406"/>
      <c r="N150" s="406"/>
      <c r="O150" s="406"/>
    </row>
    <row r="151" spans="7:15" ht="15" customHeight="1">
      <c r="G151" s="406"/>
      <c r="H151" s="406"/>
      <c r="I151" s="406"/>
      <c r="J151" s="406"/>
      <c r="K151" s="406"/>
      <c r="L151" s="406"/>
      <c r="M151" s="406"/>
      <c r="N151" s="406"/>
      <c r="O151" s="406"/>
    </row>
    <row r="152" spans="7:15" ht="15" customHeight="1">
      <c r="G152" s="406"/>
      <c r="H152" s="406"/>
      <c r="I152" s="406"/>
      <c r="J152" s="406"/>
      <c r="K152" s="406"/>
      <c r="L152" s="406"/>
      <c r="M152" s="406"/>
      <c r="N152" s="406"/>
      <c r="O152" s="406"/>
    </row>
    <row r="153" spans="7:15" ht="15" customHeight="1">
      <c r="G153" s="406"/>
      <c r="H153" s="406"/>
      <c r="I153" s="406"/>
      <c r="J153" s="406"/>
      <c r="K153" s="406"/>
      <c r="L153" s="406"/>
      <c r="M153" s="406"/>
      <c r="N153" s="406"/>
      <c r="O153" s="406"/>
    </row>
    <row r="154" spans="7:15" ht="15" customHeight="1">
      <c r="G154" s="406"/>
      <c r="H154" s="406"/>
      <c r="I154" s="406"/>
      <c r="J154" s="406"/>
      <c r="K154" s="406"/>
      <c r="L154" s="406"/>
      <c r="M154" s="406"/>
      <c r="N154" s="406"/>
      <c r="O154" s="406"/>
    </row>
    <row r="155" spans="7:15" ht="15" customHeight="1">
      <c r="G155" s="406"/>
      <c r="H155" s="406"/>
      <c r="I155" s="406"/>
      <c r="J155" s="406"/>
      <c r="K155" s="406"/>
      <c r="L155" s="406"/>
      <c r="M155" s="406"/>
      <c r="N155" s="406"/>
      <c r="O155" s="406"/>
    </row>
    <row r="156" spans="7:15" ht="15" customHeight="1">
      <c r="G156" s="406"/>
      <c r="H156" s="406"/>
      <c r="I156" s="406"/>
      <c r="J156" s="406"/>
      <c r="K156" s="406"/>
      <c r="L156" s="406"/>
      <c r="M156" s="406"/>
      <c r="N156" s="406"/>
      <c r="O156" s="406"/>
    </row>
    <row r="157" spans="7:15" ht="15" customHeight="1">
      <c r="G157" s="406"/>
      <c r="H157" s="406"/>
      <c r="I157" s="406"/>
      <c r="J157" s="406"/>
      <c r="K157" s="406"/>
      <c r="L157" s="406"/>
      <c r="M157" s="406"/>
      <c r="N157" s="406"/>
      <c r="O157" s="406"/>
    </row>
    <row r="158" spans="7:15" ht="15" customHeight="1">
      <c r="G158" s="406"/>
      <c r="H158" s="406"/>
      <c r="I158" s="406"/>
      <c r="J158" s="406"/>
      <c r="K158" s="406"/>
      <c r="L158" s="406"/>
      <c r="M158" s="406"/>
      <c r="N158" s="406"/>
      <c r="O158" s="406"/>
    </row>
    <row r="159" spans="7:15" ht="15" customHeight="1">
      <c r="G159" s="406"/>
      <c r="H159" s="406"/>
      <c r="I159" s="406"/>
      <c r="J159" s="406"/>
      <c r="K159" s="406"/>
      <c r="L159" s="406"/>
      <c r="M159" s="406"/>
      <c r="N159" s="406"/>
      <c r="O159" s="406"/>
    </row>
    <row r="160" spans="7:15" ht="15" customHeight="1">
      <c r="G160" s="406"/>
      <c r="H160" s="406"/>
      <c r="I160" s="406"/>
      <c r="J160" s="406"/>
      <c r="K160" s="406"/>
      <c r="L160" s="406"/>
      <c r="M160" s="406"/>
      <c r="N160" s="406"/>
      <c r="O160" s="406"/>
    </row>
    <row r="161" spans="7:15" ht="15" customHeight="1">
      <c r="G161" s="406"/>
      <c r="H161" s="406"/>
      <c r="I161" s="406"/>
      <c r="J161" s="406"/>
      <c r="K161" s="406"/>
      <c r="L161" s="406"/>
      <c r="M161" s="406"/>
      <c r="N161" s="406"/>
      <c r="O161" s="406"/>
    </row>
    <row r="162" spans="7:15" ht="15" customHeight="1">
      <c r="G162" s="406"/>
      <c r="H162" s="406"/>
      <c r="I162" s="406"/>
      <c r="J162" s="406"/>
      <c r="K162" s="406"/>
      <c r="L162" s="406"/>
      <c r="M162" s="406"/>
      <c r="N162" s="406"/>
      <c r="O162" s="406"/>
    </row>
    <row r="163" spans="7:15" ht="15" customHeight="1">
      <c r="G163" s="406"/>
      <c r="H163" s="406"/>
      <c r="I163" s="406"/>
      <c r="J163" s="406"/>
      <c r="K163" s="406"/>
      <c r="L163" s="406"/>
      <c r="M163" s="406"/>
      <c r="N163" s="406"/>
      <c r="O163" s="406"/>
    </row>
    <row r="164" spans="7:15" ht="15" customHeight="1">
      <c r="G164" s="406"/>
      <c r="H164" s="406"/>
      <c r="I164" s="406"/>
      <c r="J164" s="406"/>
      <c r="K164" s="406"/>
      <c r="L164" s="406"/>
      <c r="M164" s="406"/>
      <c r="N164" s="406"/>
      <c r="O164" s="406"/>
    </row>
    <row r="165" spans="7:15" ht="15" customHeight="1">
      <c r="G165" s="406"/>
      <c r="H165" s="406"/>
      <c r="I165" s="406"/>
      <c r="J165" s="406"/>
      <c r="K165" s="406"/>
      <c r="L165" s="406"/>
      <c r="M165" s="406"/>
      <c r="N165" s="406"/>
      <c r="O165" s="406"/>
    </row>
    <row r="166" spans="7:15" ht="15" customHeight="1">
      <c r="G166" s="406"/>
      <c r="H166" s="406"/>
      <c r="I166" s="406"/>
      <c r="J166" s="406"/>
      <c r="K166" s="406"/>
      <c r="L166" s="406"/>
      <c r="M166" s="406"/>
      <c r="N166" s="406"/>
      <c r="O166" s="406"/>
    </row>
    <row r="167" spans="7:15" ht="15" customHeight="1">
      <c r="G167" s="406"/>
      <c r="H167" s="406"/>
      <c r="I167" s="406"/>
      <c r="J167" s="406"/>
      <c r="K167" s="406"/>
      <c r="L167" s="406"/>
      <c r="M167" s="406"/>
      <c r="N167" s="406"/>
      <c r="O167" s="406"/>
    </row>
    <row r="168" spans="7:15" ht="15" customHeight="1">
      <c r="G168" s="406"/>
      <c r="H168" s="406"/>
      <c r="I168" s="406"/>
      <c r="J168" s="406"/>
      <c r="K168" s="406"/>
      <c r="L168" s="406"/>
      <c r="M168" s="406"/>
      <c r="N168" s="406"/>
      <c r="O168" s="406"/>
    </row>
    <row r="169" spans="7:15" ht="15" customHeight="1">
      <c r="G169" s="406"/>
      <c r="H169" s="406"/>
      <c r="I169" s="406"/>
      <c r="J169" s="406"/>
      <c r="K169" s="406"/>
      <c r="L169" s="406"/>
      <c r="M169" s="406"/>
      <c r="N169" s="406"/>
      <c r="O169" s="406"/>
    </row>
    <row r="170" spans="7:15" ht="15" customHeight="1">
      <c r="G170" s="406"/>
      <c r="H170" s="406"/>
      <c r="I170" s="406"/>
      <c r="J170" s="406"/>
      <c r="K170" s="406"/>
      <c r="L170" s="406"/>
      <c r="M170" s="406"/>
      <c r="N170" s="406"/>
      <c r="O170" s="406"/>
    </row>
    <row r="171" spans="7:15" ht="15" customHeight="1">
      <c r="G171" s="406"/>
      <c r="H171" s="406"/>
      <c r="I171" s="406"/>
      <c r="J171" s="406"/>
      <c r="K171" s="406"/>
      <c r="L171" s="406"/>
      <c r="M171" s="406"/>
      <c r="N171" s="406"/>
      <c r="O171" s="406"/>
    </row>
    <row r="172" spans="7:15" ht="15" customHeight="1">
      <c r="G172" s="406"/>
      <c r="H172" s="406"/>
      <c r="I172" s="406"/>
      <c r="J172" s="406"/>
      <c r="K172" s="406"/>
      <c r="L172" s="406"/>
      <c r="M172" s="406"/>
      <c r="N172" s="406"/>
      <c r="O172" s="406"/>
    </row>
  </sheetData>
  <mergeCells count="2">
    <mergeCell ref="A6:B6"/>
    <mergeCell ref="A13:D13"/>
  </mergeCells>
  <printOptions horizontalCentered="1"/>
  <pageMargins left="0.196527777777778" right="0.196527777777778" top="0.39374999999999999" bottom="0.196527777777778" header="0.511811023622047" footer="0.511811023622047"/>
  <pageSetup paperSize="9" scale="60" orientation="landscape" horizontalDpi="300" verticalDpi="300"/>
  <rowBreaks count="1" manualBreakCount="1">
    <brk id="12" max="16383" man="1"/>
  </rowBreaks>
  <colBreaks count="1" manualBreakCount="1">
    <brk id="6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Zeros="0" zoomScaleNormal="100" workbookViewId="0">
      <selection sqref="A1:E1"/>
    </sheetView>
  </sheetViews>
  <sheetFormatPr baseColWidth="10" defaultColWidth="8.7109375" defaultRowHeight="15" customHeight="1"/>
  <cols>
    <col min="1" max="1" width="36" style="247" customWidth="1"/>
    <col min="2" max="2" width="16" style="247" customWidth="1"/>
    <col min="3" max="5" width="20" style="247" customWidth="1"/>
    <col min="6" max="6" width="15" style="247" customWidth="1"/>
  </cols>
  <sheetData>
    <row r="1" spans="1:12" ht="17.25" customHeight="1">
      <c r="A1" s="553" t="s">
        <v>514</v>
      </c>
      <c r="B1" s="496"/>
      <c r="C1" s="496"/>
      <c r="D1" s="496"/>
      <c r="E1" s="496"/>
    </row>
    <row r="2" spans="1:12" ht="15" customHeight="1">
      <c r="A2" s="496"/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</row>
    <row r="4" spans="1:12" ht="15" customHeight="1">
      <c r="A4" s="556" t="s">
        <v>515</v>
      </c>
      <c r="B4" s="496"/>
      <c r="C4" s="496"/>
      <c r="D4" s="496"/>
      <c r="E4" s="496"/>
    </row>
    <row r="5" spans="1:12" ht="15" customHeight="1">
      <c r="A5" s="220" t="s">
        <v>516</v>
      </c>
      <c r="B5" s="221">
        <v>0.15</v>
      </c>
    </row>
    <row r="6" spans="1:12" ht="15" customHeight="1">
      <c r="A6" s="220" t="s">
        <v>517</v>
      </c>
      <c r="B6" s="445">
        <f>(1+B5)^(1/12)-1</f>
        <v>1.171491691985338E-2</v>
      </c>
    </row>
    <row r="7" spans="1:12" ht="15" customHeight="1">
      <c r="A7" s="220" t="s">
        <v>518</v>
      </c>
      <c r="B7" s="222">
        <f>'FLUJO DE CAJA'!C18</f>
        <v>1825701.7915000001</v>
      </c>
    </row>
    <row r="8" spans="1:12" ht="15" customHeight="1">
      <c r="A8" s="220" t="s">
        <v>36</v>
      </c>
      <c r="B8" s="222">
        <f>RESULTADOS!B5</f>
        <v>7081052.5520000057</v>
      </c>
    </row>
    <row r="9" spans="1:12" ht="15" customHeight="1">
      <c r="A9" s="220" t="s">
        <v>519</v>
      </c>
      <c r="B9" s="222">
        <f>'PRESUPUESTO GENERAL'!H54</f>
        <v>5422937.6215764889</v>
      </c>
    </row>
    <row r="10" spans="1:12" ht="15" customHeight="1">
      <c r="A10" s="220" t="s">
        <v>520</v>
      </c>
      <c r="B10" s="222">
        <f>B8-B9</f>
        <v>1658114.9304235168</v>
      </c>
    </row>
    <row r="12" spans="1:12" ht="15" customHeight="1">
      <c r="A12" s="554" t="s">
        <v>521</v>
      </c>
      <c r="B12" s="555"/>
      <c r="C12" s="555"/>
      <c r="D12" s="555"/>
      <c r="E12" s="555"/>
    </row>
    <row r="13" spans="1:12" ht="15" customHeight="1">
      <c r="A13" s="223" t="s">
        <v>53</v>
      </c>
      <c r="B13" s="223" t="s">
        <v>54</v>
      </c>
      <c r="C13" s="223" t="s">
        <v>522</v>
      </c>
      <c r="D13" s="223" t="s">
        <v>523</v>
      </c>
      <c r="E13" s="223" t="s">
        <v>524</v>
      </c>
    </row>
    <row r="14" spans="1:12" ht="15" customHeight="1">
      <c r="A14" s="220">
        <v>0</v>
      </c>
      <c r="B14" s="224">
        <f>'FLUJO DE CAJA'!F15</f>
        <v>46357</v>
      </c>
      <c r="C14" s="222">
        <f>'FLUJO DE CAJA'!F60</f>
        <v>-576259.26</v>
      </c>
      <c r="D14" s="446">
        <f t="shared" ref="D14:D34" si="0">1/(1+$B$6)^A14</f>
        <v>1</v>
      </c>
      <c r="E14" s="222">
        <f t="shared" ref="E14:E34" si="1">C14*D14</f>
        <v>-576259.26</v>
      </c>
    </row>
    <row r="15" spans="1:12" ht="15" customHeight="1">
      <c r="A15" s="220">
        <v>1</v>
      </c>
      <c r="B15" s="224">
        <f>'FLUJO DE CAJA'!G15</f>
        <v>46388</v>
      </c>
      <c r="C15" s="222">
        <f>'FLUJO DE CAJA'!G60</f>
        <v>-262138.6602198132</v>
      </c>
      <c r="D15" s="446">
        <f t="shared" si="0"/>
        <v>0.9884207332283691</v>
      </c>
      <c r="E15" s="222">
        <f t="shared" si="1"/>
        <v>-259103.28674197008</v>
      </c>
    </row>
    <row r="16" spans="1:12" ht="15" customHeight="1">
      <c r="A16" s="220">
        <v>2</v>
      </c>
      <c r="B16" s="224">
        <f>'FLUJO DE CAJA'!H15</f>
        <v>46419</v>
      </c>
      <c r="C16" s="222">
        <f>'FLUJO DE CAJA'!H60</f>
        <v>-258758.56035489318</v>
      </c>
      <c r="D16" s="446">
        <f t="shared" si="0"/>
        <v>0.97697554587570679</v>
      </c>
      <c r="E16" s="222">
        <f t="shared" si="1"/>
        <v>-252800.78575273379</v>
      </c>
    </row>
    <row r="17" spans="1:5" ht="15" customHeight="1">
      <c r="A17" s="220">
        <v>3</v>
      </c>
      <c r="B17" s="224">
        <f>'FLUJO DE CAJA'!I15</f>
        <v>46447</v>
      </c>
      <c r="C17" s="222">
        <f>'FLUJO DE CAJA'!I60</f>
        <v>-333212.3192657482</v>
      </c>
      <c r="D17" s="446">
        <f t="shared" si="0"/>
        <v>0.96566288540065226</v>
      </c>
      <c r="E17" s="222">
        <f t="shared" si="1"/>
        <v>-321770.76967320574</v>
      </c>
    </row>
    <row r="18" spans="1:5" ht="15" customHeight="1">
      <c r="A18" s="220">
        <v>4</v>
      </c>
      <c r="B18" s="224">
        <f>'FLUJO DE CAJA'!J15</f>
        <v>46478</v>
      </c>
      <c r="C18" s="222">
        <f>'FLUJO DE CAJA'!J60</f>
        <v>-323151.2612782949</v>
      </c>
      <c r="D18" s="446">
        <f t="shared" si="0"/>
        <v>0.95448121723913526</v>
      </c>
      <c r="E18" s="222">
        <f t="shared" si="1"/>
        <v>-308441.80921726878</v>
      </c>
    </row>
    <row r="19" spans="1:5" ht="15" customHeight="1">
      <c r="A19" s="220">
        <v>5</v>
      </c>
      <c r="B19" s="224">
        <f>'FLUJO DE CAJA'!K15</f>
        <v>46508</v>
      </c>
      <c r="C19" s="222">
        <f>'FLUJO DE CAJA'!K60</f>
        <v>-97723.173939288332</v>
      </c>
      <c r="D19" s="446">
        <f t="shared" si="0"/>
        <v>0.94342902459621236</v>
      </c>
      <c r="E19" s="222">
        <f t="shared" si="1"/>
        <v>-92194.878669988786</v>
      </c>
    </row>
    <row r="20" spans="1:5" ht="15" customHeight="1">
      <c r="A20" s="220">
        <v>6</v>
      </c>
      <c r="B20" s="224">
        <f>'FLUJO DE CAJA'!L15</f>
        <v>46539</v>
      </c>
      <c r="C20" s="222">
        <f>'FLUJO DE CAJA'!L60</f>
        <v>-17574.245443368272</v>
      </c>
      <c r="D20" s="446">
        <f t="shared" si="0"/>
        <v>0.93250480824031312</v>
      </c>
      <c r="E20" s="222">
        <f t="shared" si="1"/>
        <v>-16388.068377136329</v>
      </c>
    </row>
    <row r="21" spans="1:5" ht="15" customHeight="1">
      <c r="A21" s="220">
        <v>7</v>
      </c>
      <c r="B21" s="224">
        <f>'FLUJO DE CAJA'!M15</f>
        <v>46569</v>
      </c>
      <c r="C21" s="222">
        <f>'FLUJO DE CAJA'!M60</f>
        <v>193514.63138099143</v>
      </c>
      <c r="D21" s="446">
        <f t="shared" si="0"/>
        <v>0.9217070862998703</v>
      </c>
      <c r="E21" s="222">
        <f t="shared" si="1"/>
        <v>178363.80704656706</v>
      </c>
    </row>
    <row r="22" spans="1:5" ht="15" customHeight="1">
      <c r="A22" s="220">
        <v>8</v>
      </c>
      <c r="B22" s="224">
        <f>'FLUJO DE CAJA'!N15</f>
        <v>46600</v>
      </c>
      <c r="C22" s="222">
        <f>'FLUJO DE CAJA'!N60</f>
        <v>398412.61731421499</v>
      </c>
      <c r="D22" s="446">
        <f t="shared" si="0"/>
        <v>0.91103439406230124</v>
      </c>
      <c r="E22" s="222">
        <f t="shared" si="1"/>
        <v>362967.59740163136</v>
      </c>
    </row>
    <row r="23" spans="1:5" ht="15" customHeight="1">
      <c r="A23" s="220">
        <v>9</v>
      </c>
      <c r="B23" s="224">
        <f>'FLUJO DE CAJA'!O15</f>
        <v>46631</v>
      </c>
      <c r="C23" s="222">
        <f>'FLUJO DE CAJA'!O60</f>
        <v>457572.12032470806</v>
      </c>
      <c r="D23" s="446">
        <f t="shared" si="0"/>
        <v>0.90048528377532266</v>
      </c>
      <c r="E23" s="222">
        <f t="shared" si="1"/>
        <v>412036.96061827079</v>
      </c>
    </row>
    <row r="24" spans="1:5" ht="15" customHeight="1">
      <c r="A24" s="220">
        <v>10</v>
      </c>
      <c r="B24" s="224">
        <f>'FLUJO DE CAJA'!P15</f>
        <v>46661</v>
      </c>
      <c r="C24" s="222">
        <f>'FLUJO DE CAJA'!P60</f>
        <v>448187.46896606236</v>
      </c>
      <c r="D24" s="446">
        <f t="shared" si="0"/>
        <v>0.89005832445056055</v>
      </c>
      <c r="E24" s="222">
        <f t="shared" si="1"/>
        <v>398912.98766767106</v>
      </c>
    </row>
    <row r="25" spans="1:5" ht="15" customHeight="1">
      <c r="A25" s="220">
        <v>11</v>
      </c>
      <c r="B25" s="224">
        <f>'FLUJO DE CAJA'!Q15</f>
        <v>46692</v>
      </c>
      <c r="C25" s="222">
        <f>'FLUJO DE CAJA'!Q60</f>
        <v>507758.73721452907</v>
      </c>
      <c r="D25" s="446">
        <f t="shared" si="0"/>
        <v>0.87975210166943663</v>
      </c>
      <c r="E25" s="222">
        <f t="shared" si="1"/>
        <v>446701.81620550115</v>
      </c>
    </row>
    <row r="26" spans="1:5" ht="15" customHeight="1">
      <c r="A26" s="220">
        <v>12</v>
      </c>
      <c r="B26" s="224">
        <f>'FLUJO DE CAJA'!R15</f>
        <v>46722</v>
      </c>
      <c r="C26" s="222">
        <f>'FLUJO DE CAJA'!R60</f>
        <v>506640.67482394329</v>
      </c>
      <c r="D26" s="446">
        <f t="shared" si="0"/>
        <v>0.86956521739130321</v>
      </c>
      <c r="E26" s="222">
        <f t="shared" si="1"/>
        <v>440557.1085425588</v>
      </c>
    </row>
    <row r="27" spans="1:5" ht="15" customHeight="1">
      <c r="A27" s="220">
        <v>13</v>
      </c>
      <c r="B27" s="224">
        <f>'FLUJO DE CAJA'!S15</f>
        <v>46753</v>
      </c>
      <c r="C27" s="222">
        <f>'FLUJO DE CAJA'!S60</f>
        <v>167930.04012353503</v>
      </c>
      <c r="D27" s="446">
        <f t="shared" si="0"/>
        <v>0.85949628976379822</v>
      </c>
      <c r="E27" s="222">
        <f t="shared" si="1"/>
        <v>144335.24642606411</v>
      </c>
    </row>
    <row r="28" spans="1:5" ht="15" customHeight="1">
      <c r="A28" s="220">
        <v>14</v>
      </c>
      <c r="B28" s="224">
        <f>'FLUJO DE CAJA'!T15</f>
        <v>46784</v>
      </c>
      <c r="C28" s="222">
        <f>'FLUJO DE CAJA'!T60</f>
        <v>242046.26297552249</v>
      </c>
      <c r="D28" s="446">
        <f t="shared" si="0"/>
        <v>0.8495439529353962</v>
      </c>
      <c r="E28" s="222">
        <f t="shared" si="1"/>
        <v>205628.93904146581</v>
      </c>
    </row>
    <row r="29" spans="1:5" ht="15" customHeight="1">
      <c r="A29" s="220">
        <v>15</v>
      </c>
      <c r="B29" s="224">
        <f>'FLUJO DE CAJA'!U15</f>
        <v>46813</v>
      </c>
      <c r="C29" s="222">
        <f>'FLUJO DE CAJA'!U60</f>
        <v>178273.10474853229</v>
      </c>
      <c r="D29" s="446">
        <f t="shared" si="0"/>
        <v>0.83970685687013147</v>
      </c>
      <c r="E29" s="222">
        <f t="shared" si="1"/>
        <v>149697.14845286976</v>
      </c>
    </row>
    <row r="30" spans="1:5" ht="15" customHeight="1">
      <c r="A30" s="220">
        <v>16</v>
      </c>
      <c r="B30" s="224">
        <f>'FLUJO DE CAJA'!V15</f>
        <v>46844</v>
      </c>
      <c r="C30" s="222">
        <f>'FLUJO DE CAJA'!V60</f>
        <v>95725.430971733294</v>
      </c>
      <c r="D30" s="446">
        <f t="shared" si="0"/>
        <v>0.82998366716446437</v>
      </c>
      <c r="E30" s="222">
        <f t="shared" si="1"/>
        <v>79450.544238817994</v>
      </c>
    </row>
    <row r="31" spans="1:5" ht="15" customHeight="1">
      <c r="A31" s="220">
        <v>17</v>
      </c>
      <c r="B31" s="224">
        <f>'FLUJO DE CAJA'!W15</f>
        <v>46874</v>
      </c>
      <c r="C31" s="222">
        <f>'FLUJO DE CAJA'!W60</f>
        <v>172606.28024333165</v>
      </c>
      <c r="D31" s="446">
        <f t="shared" si="0"/>
        <v>0.8203730648662706</v>
      </c>
      <c r="E31" s="222">
        <f t="shared" si="1"/>
        <v>141601.5431383884</v>
      </c>
    </row>
    <row r="32" spans="1:5" ht="15" customHeight="1">
      <c r="A32" s="220">
        <v>18</v>
      </c>
      <c r="B32" s="224">
        <f>'FLUJO DE CAJA'!X15</f>
        <v>46905</v>
      </c>
      <c r="C32" s="222">
        <f>'FLUJO DE CAJA'!X60</f>
        <v>53081.324750811706</v>
      </c>
      <c r="D32" s="446">
        <f t="shared" si="0"/>
        <v>0.81087374629592357</v>
      </c>
      <c r="E32" s="222">
        <f t="shared" si="1"/>
        <v>43042.252659041216</v>
      </c>
    </row>
    <row r="33" spans="1:5" ht="15" customHeight="1">
      <c r="A33" s="220">
        <v>19</v>
      </c>
      <c r="B33" s="224">
        <f>'FLUJO DE CAJA'!Y15</f>
        <v>46935</v>
      </c>
      <c r="C33" s="222">
        <f>'FLUJO DE CAJA'!Y60</f>
        <v>52828.762726999994</v>
      </c>
      <c r="D33" s="446">
        <f t="shared" si="0"/>
        <v>0.80148442286945143</v>
      </c>
      <c r="E33" s="222">
        <f t="shared" si="1"/>
        <v>42341.430405156774</v>
      </c>
    </row>
    <row r="34" spans="1:5" ht="15" customHeight="1">
      <c r="A34" s="220">
        <v>20</v>
      </c>
      <c r="B34" s="224">
        <f>'FLUJO DE CAJA'!Z15</f>
        <v>46966</v>
      </c>
      <c r="C34" s="222">
        <f>'FLUJO DE CAJA'!Z60</f>
        <v>52354.964674999996</v>
      </c>
      <c r="D34" s="446">
        <f t="shared" si="0"/>
        <v>0.7922038209237392</v>
      </c>
      <c r="E34" s="222">
        <f t="shared" si="1"/>
        <v>41475.803059862388</v>
      </c>
    </row>
    <row r="36" spans="1:5" ht="15" customHeight="1">
      <c r="A36" s="220" t="s">
        <v>525</v>
      </c>
      <c r="B36" s="222">
        <f>SUM(E14:E34)</f>
        <v>1260154.326471563</v>
      </c>
    </row>
    <row r="37" spans="1:5" ht="15" customHeight="1">
      <c r="A37" s="220" t="s">
        <v>526</v>
      </c>
      <c r="B37" s="221">
        <f>IRR(C14:C34)</f>
        <v>7.0511739451732058E-2</v>
      </c>
    </row>
    <row r="38" spans="1:5" ht="15" customHeight="1">
      <c r="A38" s="220" t="s">
        <v>527</v>
      </c>
      <c r="B38" s="221">
        <f>(1+B37)^12-1</f>
        <v>1.2651512726772958</v>
      </c>
    </row>
    <row r="39" spans="1:5" ht="15" customHeight="1">
      <c r="A39" s="220" t="s">
        <v>528</v>
      </c>
      <c r="B39" s="220" t="str">
        <f>IF(B36&gt;0,"VIABLE","NO VIABLE")</f>
        <v>VIABLE</v>
      </c>
    </row>
    <row r="42" spans="1:5" ht="15" customHeight="1">
      <c r="A42" s="554" t="s">
        <v>529</v>
      </c>
      <c r="B42" s="555"/>
      <c r="C42" s="555"/>
      <c r="D42" s="555"/>
      <c r="E42" s="555"/>
    </row>
    <row r="43" spans="1:5" ht="15" customHeight="1">
      <c r="A43" s="223" t="s">
        <v>53</v>
      </c>
      <c r="B43" s="223" t="s">
        <v>54</v>
      </c>
      <c r="C43" s="223" t="s">
        <v>530</v>
      </c>
      <c r="D43" s="223" t="s">
        <v>523</v>
      </c>
      <c r="E43" s="223" t="s">
        <v>524</v>
      </c>
    </row>
    <row r="44" spans="1:5" ht="15" customHeight="1">
      <c r="A44" s="220">
        <v>0</v>
      </c>
      <c r="B44" s="224">
        <f>'FLUJO DE CAJA'!F15</f>
        <v>46357</v>
      </c>
      <c r="C44" s="222">
        <f>-'FLUJO DE CAJA'!C18</f>
        <v>-1825701.7915000001</v>
      </c>
      <c r="D44" s="446">
        <f>1/(1+$B$6)^A44</f>
        <v>1</v>
      </c>
      <c r="E44" s="222">
        <f t="shared" ref="E44:E64" si="2">C44*D44</f>
        <v>-1825701.7915000001</v>
      </c>
    </row>
    <row r="45" spans="1:5" ht="15" customHeight="1">
      <c r="A45" s="220">
        <v>1</v>
      </c>
      <c r="B45" s="224">
        <f>'FLUJO DE CAJA'!G15</f>
        <v>46388</v>
      </c>
      <c r="C45" s="222">
        <f>'FLUJO DE CAJA'!G60</f>
        <v>-262138.6602198132</v>
      </c>
      <c r="D45" s="446">
        <f t="shared" ref="D45:D64" si="3">1/(1+$B$6)^A45</f>
        <v>0.9884207332283691</v>
      </c>
      <c r="E45" s="222">
        <f t="shared" si="2"/>
        <v>-259103.28674197008</v>
      </c>
    </row>
    <row r="46" spans="1:5" ht="15" customHeight="1">
      <c r="A46" s="220">
        <v>2</v>
      </c>
      <c r="B46" s="224">
        <f>'FLUJO DE CAJA'!H15</f>
        <v>46419</v>
      </c>
      <c r="C46" s="222">
        <f>'FLUJO DE CAJA'!H60</f>
        <v>-258758.56035489318</v>
      </c>
      <c r="D46" s="446">
        <f t="shared" si="3"/>
        <v>0.97697554587570679</v>
      </c>
      <c r="E46" s="222">
        <f t="shared" si="2"/>
        <v>-252800.78575273379</v>
      </c>
    </row>
    <row r="47" spans="1:5" ht="15" customHeight="1">
      <c r="A47" s="220">
        <v>3</v>
      </c>
      <c r="B47" s="224">
        <f>'FLUJO DE CAJA'!I15</f>
        <v>46447</v>
      </c>
      <c r="C47" s="222">
        <f>'FLUJO DE CAJA'!I60</f>
        <v>-333212.3192657482</v>
      </c>
      <c r="D47" s="446">
        <f t="shared" si="3"/>
        <v>0.96566288540065226</v>
      </c>
      <c r="E47" s="222">
        <f t="shared" si="2"/>
        <v>-321770.76967320574</v>
      </c>
    </row>
    <row r="48" spans="1:5" ht="15" customHeight="1">
      <c r="A48" s="220">
        <v>4</v>
      </c>
      <c r="B48" s="224">
        <f>'FLUJO DE CAJA'!J15</f>
        <v>46478</v>
      </c>
      <c r="C48" s="222">
        <f>'FLUJO DE CAJA'!J60</f>
        <v>-323151.2612782949</v>
      </c>
      <c r="D48" s="446">
        <f t="shared" si="3"/>
        <v>0.95448121723913526</v>
      </c>
      <c r="E48" s="222">
        <f t="shared" si="2"/>
        <v>-308441.80921726878</v>
      </c>
    </row>
    <row r="49" spans="1:5" ht="15" customHeight="1">
      <c r="A49" s="220">
        <v>5</v>
      </c>
      <c r="B49" s="224">
        <f>'FLUJO DE CAJA'!K15</f>
        <v>46508</v>
      </c>
      <c r="C49" s="222">
        <f>'FLUJO DE CAJA'!K60</f>
        <v>-97723.173939288332</v>
      </c>
      <c r="D49" s="446">
        <f t="shared" si="3"/>
        <v>0.94342902459621236</v>
      </c>
      <c r="E49" s="222">
        <f t="shared" si="2"/>
        <v>-92194.878669988786</v>
      </c>
    </row>
    <row r="50" spans="1:5" ht="15" customHeight="1">
      <c r="A50" s="220">
        <v>6</v>
      </c>
      <c r="B50" s="224">
        <f>'FLUJO DE CAJA'!L15</f>
        <v>46539</v>
      </c>
      <c r="C50" s="222">
        <f>'FLUJO DE CAJA'!L60</f>
        <v>-17574.245443368272</v>
      </c>
      <c r="D50" s="446">
        <f t="shared" si="3"/>
        <v>0.93250480824031312</v>
      </c>
      <c r="E50" s="222">
        <f t="shared" si="2"/>
        <v>-16388.068377136329</v>
      </c>
    </row>
    <row r="51" spans="1:5" ht="15" customHeight="1">
      <c r="A51" s="220">
        <v>7</v>
      </c>
      <c r="B51" s="224">
        <f>'FLUJO DE CAJA'!M15</f>
        <v>46569</v>
      </c>
      <c r="C51" s="222">
        <f>'FLUJO DE CAJA'!M60</f>
        <v>193514.63138099143</v>
      </c>
      <c r="D51" s="446">
        <f t="shared" si="3"/>
        <v>0.9217070862998703</v>
      </c>
      <c r="E51" s="222">
        <f t="shared" si="2"/>
        <v>178363.80704656706</v>
      </c>
    </row>
    <row r="52" spans="1:5" ht="15" customHeight="1">
      <c r="A52" s="220">
        <v>8</v>
      </c>
      <c r="B52" s="224">
        <f>'FLUJO DE CAJA'!N15</f>
        <v>46600</v>
      </c>
      <c r="C52" s="222">
        <f>'FLUJO DE CAJA'!N60</f>
        <v>398412.61731421499</v>
      </c>
      <c r="D52" s="446">
        <f t="shared" si="3"/>
        <v>0.91103439406230124</v>
      </c>
      <c r="E52" s="222">
        <f t="shared" si="2"/>
        <v>362967.59740163136</v>
      </c>
    </row>
    <row r="53" spans="1:5" ht="15" customHeight="1">
      <c r="A53" s="220">
        <v>9</v>
      </c>
      <c r="B53" s="224">
        <f>'FLUJO DE CAJA'!O15</f>
        <v>46631</v>
      </c>
      <c r="C53" s="222">
        <f>'FLUJO DE CAJA'!O60</f>
        <v>457572.12032470806</v>
      </c>
      <c r="D53" s="446">
        <f t="shared" si="3"/>
        <v>0.90048528377532266</v>
      </c>
      <c r="E53" s="222">
        <f t="shared" si="2"/>
        <v>412036.96061827079</v>
      </c>
    </row>
    <row r="54" spans="1:5" ht="15" customHeight="1">
      <c r="A54" s="220">
        <v>10</v>
      </c>
      <c r="B54" s="224">
        <f>'FLUJO DE CAJA'!P15</f>
        <v>46661</v>
      </c>
      <c r="C54" s="222">
        <f>'FLUJO DE CAJA'!P60</f>
        <v>448187.46896606236</v>
      </c>
      <c r="D54" s="446">
        <f t="shared" si="3"/>
        <v>0.89005832445056055</v>
      </c>
      <c r="E54" s="222">
        <f t="shared" si="2"/>
        <v>398912.98766767106</v>
      </c>
    </row>
    <row r="55" spans="1:5" ht="15" customHeight="1">
      <c r="A55" s="220">
        <v>11</v>
      </c>
      <c r="B55" s="224">
        <f>'FLUJO DE CAJA'!Q15</f>
        <v>46692</v>
      </c>
      <c r="C55" s="222">
        <f>'FLUJO DE CAJA'!Q60</f>
        <v>507758.73721452907</v>
      </c>
      <c r="D55" s="446">
        <f t="shared" si="3"/>
        <v>0.87975210166943663</v>
      </c>
      <c r="E55" s="222">
        <f t="shared" si="2"/>
        <v>446701.81620550115</v>
      </c>
    </row>
    <row r="56" spans="1:5" ht="15" customHeight="1">
      <c r="A56" s="220">
        <v>12</v>
      </c>
      <c r="B56" s="224">
        <f>'FLUJO DE CAJA'!R15</f>
        <v>46722</v>
      </c>
      <c r="C56" s="222">
        <f>'FLUJO DE CAJA'!R60</f>
        <v>506640.67482394329</v>
      </c>
      <c r="D56" s="446">
        <f t="shared" si="3"/>
        <v>0.86956521739130321</v>
      </c>
      <c r="E56" s="222">
        <f t="shared" si="2"/>
        <v>440557.1085425588</v>
      </c>
    </row>
    <row r="57" spans="1:5" ht="15" customHeight="1">
      <c r="A57" s="220">
        <v>13</v>
      </c>
      <c r="B57" s="224">
        <f>'FLUJO DE CAJA'!S15</f>
        <v>46753</v>
      </c>
      <c r="C57" s="222">
        <f>'FLUJO DE CAJA'!S60</f>
        <v>167930.04012353503</v>
      </c>
      <c r="D57" s="446">
        <f t="shared" si="3"/>
        <v>0.85949628976379822</v>
      </c>
      <c r="E57" s="222">
        <f t="shared" si="2"/>
        <v>144335.24642606411</v>
      </c>
    </row>
    <row r="58" spans="1:5" ht="15" customHeight="1">
      <c r="A58" s="220">
        <v>14</v>
      </c>
      <c r="B58" s="224">
        <f>'FLUJO DE CAJA'!T15</f>
        <v>46784</v>
      </c>
      <c r="C58" s="222">
        <f>'FLUJO DE CAJA'!T60</f>
        <v>242046.26297552249</v>
      </c>
      <c r="D58" s="446">
        <f t="shared" si="3"/>
        <v>0.8495439529353962</v>
      </c>
      <c r="E58" s="222">
        <f t="shared" si="2"/>
        <v>205628.93904146581</v>
      </c>
    </row>
    <row r="59" spans="1:5" ht="15" customHeight="1">
      <c r="A59" s="220">
        <v>15</v>
      </c>
      <c r="B59" s="224">
        <f>'FLUJO DE CAJA'!U15</f>
        <v>46813</v>
      </c>
      <c r="C59" s="222">
        <f>'FLUJO DE CAJA'!U60</f>
        <v>178273.10474853229</v>
      </c>
      <c r="D59" s="446">
        <f t="shared" si="3"/>
        <v>0.83970685687013147</v>
      </c>
      <c r="E59" s="222">
        <f t="shared" si="2"/>
        <v>149697.14845286976</v>
      </c>
    </row>
    <row r="60" spans="1:5" ht="15" customHeight="1">
      <c r="A60" s="220">
        <v>16</v>
      </c>
      <c r="B60" s="224">
        <f>'FLUJO DE CAJA'!V15</f>
        <v>46844</v>
      </c>
      <c r="C60" s="222">
        <f>'FLUJO DE CAJA'!V60</f>
        <v>95725.430971733294</v>
      </c>
      <c r="D60" s="446">
        <f t="shared" si="3"/>
        <v>0.82998366716446437</v>
      </c>
      <c r="E60" s="222">
        <f t="shared" si="2"/>
        <v>79450.544238817994</v>
      </c>
    </row>
    <row r="61" spans="1:5" ht="15" customHeight="1">
      <c r="A61" s="220">
        <v>17</v>
      </c>
      <c r="B61" s="224">
        <f>'FLUJO DE CAJA'!W15</f>
        <v>46874</v>
      </c>
      <c r="C61" s="222">
        <f>'FLUJO DE CAJA'!W60</f>
        <v>172606.28024333165</v>
      </c>
      <c r="D61" s="446">
        <f t="shared" si="3"/>
        <v>0.8203730648662706</v>
      </c>
      <c r="E61" s="222">
        <f t="shared" si="2"/>
        <v>141601.5431383884</v>
      </c>
    </row>
    <row r="62" spans="1:5" ht="15" customHeight="1">
      <c r="A62" s="220">
        <v>18</v>
      </c>
      <c r="B62" s="224">
        <f>'FLUJO DE CAJA'!X15</f>
        <v>46905</v>
      </c>
      <c r="C62" s="222">
        <f>'FLUJO DE CAJA'!X60</f>
        <v>53081.324750811706</v>
      </c>
      <c r="D62" s="446">
        <f t="shared" si="3"/>
        <v>0.81087374629592357</v>
      </c>
      <c r="E62" s="222">
        <f t="shared" si="2"/>
        <v>43042.252659041216</v>
      </c>
    </row>
    <row r="63" spans="1:5" ht="15" customHeight="1">
      <c r="A63" s="220">
        <v>19</v>
      </c>
      <c r="B63" s="224">
        <f>'FLUJO DE CAJA'!Y15</f>
        <v>46935</v>
      </c>
      <c r="C63" s="222">
        <f>'FLUJO DE CAJA'!Y60</f>
        <v>52828.762726999994</v>
      </c>
      <c r="D63" s="446">
        <f t="shared" si="3"/>
        <v>0.80148442286945143</v>
      </c>
      <c r="E63" s="222">
        <f t="shared" si="2"/>
        <v>42341.430405156774</v>
      </c>
    </row>
    <row r="64" spans="1:5" ht="15" customHeight="1">
      <c r="A64" s="220">
        <v>20</v>
      </c>
      <c r="B64" s="224">
        <f>'FLUJO DE CAJA'!Z15</f>
        <v>46966</v>
      </c>
      <c r="C64" s="222">
        <f>'FLUJO DE CAJA'!Z60</f>
        <v>52354.964674999996</v>
      </c>
      <c r="D64" s="446">
        <f t="shared" si="3"/>
        <v>0.7922038209237392</v>
      </c>
      <c r="E64" s="222">
        <f t="shared" si="2"/>
        <v>41475.803059862388</v>
      </c>
    </row>
    <row r="66" spans="1:5" ht="15" customHeight="1">
      <c r="A66" s="220" t="s">
        <v>531</v>
      </c>
      <c r="B66" s="222">
        <f>SUM(E44:E64)</f>
        <v>10711.794971563155</v>
      </c>
    </row>
    <row r="67" spans="1:5" ht="15" customHeight="1">
      <c r="A67" s="220" t="s">
        <v>532</v>
      </c>
      <c r="B67" s="221">
        <f>IRR(C44:C64)</f>
        <v>1.2058532508860687E-2</v>
      </c>
    </row>
    <row r="68" spans="1:5" ht="15" customHeight="1">
      <c r="A68" s="220" t="s">
        <v>533</v>
      </c>
      <c r="B68" s="221">
        <f>(1+B67)^12-1</f>
        <v>0.1546957526823769</v>
      </c>
    </row>
    <row r="69" spans="1:5" ht="15" customHeight="1">
      <c r="A69" s="220" t="s">
        <v>528</v>
      </c>
      <c r="B69" s="220" t="str">
        <f>IF(B66&gt;0,"VIABLE","NO VIABLE")</f>
        <v>VIABLE</v>
      </c>
    </row>
    <row r="72" spans="1:5" ht="15" customHeight="1">
      <c r="A72" s="556" t="s">
        <v>534</v>
      </c>
      <c r="B72" s="496"/>
      <c r="C72" s="496"/>
      <c r="D72" s="496"/>
      <c r="E72" s="496"/>
    </row>
    <row r="73" spans="1:5" ht="15" customHeight="1">
      <c r="A73" s="223" t="s">
        <v>535</v>
      </c>
      <c r="B73" s="223" t="s">
        <v>536</v>
      </c>
      <c r="C73" s="223" t="s">
        <v>537</v>
      </c>
      <c r="D73" s="223" t="s">
        <v>538</v>
      </c>
    </row>
    <row r="74" spans="1:5" ht="15" customHeight="1">
      <c r="A74" s="221">
        <v>0.1</v>
      </c>
      <c r="B74" s="221">
        <f>(1+A74)^(1/12)-1</f>
        <v>7.9741404289037643E-3</v>
      </c>
      <c r="C74" s="222">
        <f>C14+NPV(B74,C15:C34)</f>
        <v>1380168.7889851008</v>
      </c>
      <c r="D74" s="222">
        <f>C44+NPV(B74,C45:C64)</f>
        <v>130726.25748510077</v>
      </c>
    </row>
    <row r="75" spans="1:5" ht="15" customHeight="1">
      <c r="A75" s="221">
        <v>0.12</v>
      </c>
      <c r="B75" s="221">
        <f>(1+A75)^(1/12)-1</f>
        <v>9.4887929345830457E-3</v>
      </c>
      <c r="C75" s="222">
        <f>C14+NPV(B75,C15:C34)</f>
        <v>1330814.3617867304</v>
      </c>
      <c r="D75" s="222">
        <f>C44+NPV(B75,C45:C64)</f>
        <v>81371.830286730314</v>
      </c>
    </row>
    <row r="76" spans="1:5" ht="15" customHeight="1">
      <c r="A76" s="221">
        <v>0.15</v>
      </c>
      <c r="B76" s="221">
        <f>(1+A76)^(1/12)-1</f>
        <v>1.171491691985338E-2</v>
      </c>
      <c r="C76" s="222">
        <f>C14+NPV(B76,C15:C34)</f>
        <v>1260154.3264715639</v>
      </c>
      <c r="D76" s="222">
        <f>C44+NPV(B76,C45:C64)</f>
        <v>10711.794971563853</v>
      </c>
    </row>
    <row r="77" spans="1:5" ht="15" customHeight="1">
      <c r="A77" s="221">
        <v>0.18</v>
      </c>
      <c r="B77" s="221">
        <f>(1+A77)^(1/12)-1</f>
        <v>1.3888430348409919E-2</v>
      </c>
      <c r="C77" s="222">
        <f>C14+NPV(B77,C15:C34)</f>
        <v>1193256.8031908185</v>
      </c>
      <c r="D77" s="222">
        <f>C44+NPV(B77,C45:C64)</f>
        <v>-56185.728309181519</v>
      </c>
    </row>
    <row r="78" spans="1:5" ht="15" customHeight="1">
      <c r="A78" s="221">
        <v>0.2</v>
      </c>
      <c r="B78" s="221">
        <f>(1+A78)^(1/12)-1</f>
        <v>1.5309470499731193E-2</v>
      </c>
      <c r="C78" s="222">
        <f>C14+NPV(B78,C15:C34)</f>
        <v>1150604.7701526606</v>
      </c>
      <c r="D78" s="222">
        <f>C44+NPV(B78,C45:C64)</f>
        <v>-98837.761347339489</v>
      </c>
    </row>
  </sheetData>
  <mergeCells count="6">
    <mergeCell ref="A1:E1"/>
    <mergeCell ref="A2:L2"/>
    <mergeCell ref="A12:E12"/>
    <mergeCell ref="A4:E4"/>
    <mergeCell ref="A72:E72"/>
    <mergeCell ref="A42:E42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Zeros="0" zoomScaleNormal="100" workbookViewId="0">
      <selection sqref="A1:J1"/>
    </sheetView>
  </sheetViews>
  <sheetFormatPr baseColWidth="10" defaultColWidth="8.7109375" defaultRowHeight="15" customHeight="1"/>
  <cols>
    <col min="1" max="1" width="38" style="247" customWidth="1"/>
    <col min="2" max="2" width="43.28515625" style="247" customWidth="1"/>
    <col min="3" max="3" width="17" style="247" customWidth="1"/>
    <col min="4" max="4" width="15" style="247" customWidth="1"/>
    <col min="5" max="5" width="13" style="247" customWidth="1"/>
    <col min="6" max="7" width="18" style="247" customWidth="1"/>
    <col min="8" max="8" width="42" style="247" customWidth="1"/>
    <col min="9" max="10" width="18" style="247" customWidth="1"/>
  </cols>
  <sheetData>
    <row r="1" spans="1:10" ht="17.25" customHeight="1">
      <c r="A1" s="557" t="s">
        <v>539</v>
      </c>
      <c r="B1" s="496"/>
      <c r="C1" s="496"/>
      <c r="D1" s="496"/>
      <c r="E1" s="496"/>
      <c r="F1" s="496"/>
      <c r="G1" s="496"/>
      <c r="H1" s="496"/>
      <c r="I1" s="496"/>
      <c r="J1" s="496"/>
    </row>
    <row r="2" spans="1:10" ht="15" customHeight="1">
      <c r="A2" s="558"/>
      <c r="B2" s="496"/>
      <c r="C2" s="496"/>
      <c r="D2" s="496"/>
      <c r="E2" s="496"/>
      <c r="F2" s="496"/>
      <c r="G2" s="496"/>
      <c r="H2" s="496"/>
      <c r="I2" s="496"/>
      <c r="J2" s="496"/>
    </row>
    <row r="4" spans="1:10" ht="15" customHeight="1">
      <c r="A4" s="559" t="s">
        <v>540</v>
      </c>
      <c r="B4" s="496"/>
      <c r="C4" s="496"/>
      <c r="D4" s="496"/>
      <c r="E4" s="496"/>
      <c r="F4" s="496"/>
    </row>
    <row r="5" spans="1:10" ht="15" customHeight="1">
      <c r="A5" s="220" t="s">
        <v>541</v>
      </c>
      <c r="B5" s="222">
        <f>RESULTADOS!B5</f>
        <v>7081052.5520000057</v>
      </c>
      <c r="C5" s="220" t="s">
        <v>542</v>
      </c>
    </row>
    <row r="6" spans="1:10" ht="15" customHeight="1">
      <c r="A6" s="220" t="s">
        <v>37</v>
      </c>
      <c r="B6" s="222">
        <f>'PRESUPUESTO GENERAL'!H54</f>
        <v>5422937.6215764889</v>
      </c>
      <c r="C6" s="220" t="s">
        <v>542</v>
      </c>
    </row>
    <row r="7" spans="1:10" ht="15" customHeight="1">
      <c r="A7" s="220" t="s">
        <v>543</v>
      </c>
      <c r="B7" s="225">
        <f>'PARAMETROS DEL PROYECTO'!C7+'PARAMETROS DEL PROYECTO'!C8+'PARAMETROS DEL PROYECTO'!C9</f>
        <v>100</v>
      </c>
      <c r="C7" s="220" t="s">
        <v>174</v>
      </c>
    </row>
    <row r="8" spans="1:10" ht="15" customHeight="1">
      <c r="A8" s="220" t="s">
        <v>544</v>
      </c>
      <c r="B8" s="222">
        <f>IFERROR(B5/B7,0)</f>
        <v>70810.525520000054</v>
      </c>
      <c r="C8" s="220" t="s">
        <v>545</v>
      </c>
    </row>
    <row r="9" spans="1:10" ht="15" customHeight="1">
      <c r="A9" s="220" t="s">
        <v>546</v>
      </c>
      <c r="B9" s="222">
        <f>SUM(F22:F43)</f>
        <v>4120985.6199999996</v>
      </c>
      <c r="C9" s="220" t="s">
        <v>542</v>
      </c>
      <c r="D9" s="475"/>
    </row>
    <row r="10" spans="1:10" ht="15" customHeight="1">
      <c r="A10" s="220" t="s">
        <v>547</v>
      </c>
      <c r="B10" s="222">
        <f>G45</f>
        <v>1301952.0015764891</v>
      </c>
      <c r="C10" s="220" t="s">
        <v>542</v>
      </c>
      <c r="D10" s="475"/>
    </row>
    <row r="11" spans="1:10" ht="15" customHeight="1">
      <c r="A11" s="220" t="s">
        <v>548</v>
      </c>
      <c r="B11" s="222">
        <f>IFERROR(B9/B7,0)</f>
        <v>41209.856199999995</v>
      </c>
      <c r="C11" s="220" t="s">
        <v>545</v>
      </c>
      <c r="D11" s="474"/>
    </row>
    <row r="12" spans="1:10" ht="15" customHeight="1">
      <c r="A12" s="220" t="s">
        <v>549</v>
      </c>
      <c r="B12" s="222">
        <f>B8-B11</f>
        <v>29600.669320000059</v>
      </c>
      <c r="C12" s="220" t="s">
        <v>545</v>
      </c>
    </row>
    <row r="13" spans="1:10" ht="15" customHeight="1">
      <c r="A13" s="220" t="s">
        <v>550</v>
      </c>
      <c r="B13" s="221">
        <f>IFERROR(B12/B8,0)</f>
        <v>0.41802640359785931</v>
      </c>
      <c r="C13" s="220" t="s">
        <v>17</v>
      </c>
    </row>
    <row r="14" spans="1:10" ht="15" customHeight="1">
      <c r="A14" s="226" t="s">
        <v>551</v>
      </c>
      <c r="B14" s="225">
        <f>IFERROR(ROUNDUP(B10/B12,0),0)</f>
        <v>44</v>
      </c>
      <c r="C14" s="220" t="s">
        <v>174</v>
      </c>
    </row>
    <row r="15" spans="1:10" ht="15" customHeight="1">
      <c r="A15" s="226" t="s">
        <v>552</v>
      </c>
      <c r="B15" s="222">
        <f>B14*B8</f>
        <v>3115663.1228800025</v>
      </c>
      <c r="C15" s="220" t="s">
        <v>542</v>
      </c>
    </row>
    <row r="16" spans="1:10" ht="15" customHeight="1">
      <c r="A16" s="220" t="s">
        <v>553</v>
      </c>
      <c r="B16" s="221">
        <f>IFERROR(B14/B7,0)</f>
        <v>0.44</v>
      </c>
      <c r="C16" s="220" t="s">
        <v>17</v>
      </c>
    </row>
    <row r="17" spans="1:10" ht="15" customHeight="1">
      <c r="A17" s="220" t="s">
        <v>554</v>
      </c>
      <c r="B17" s="225">
        <f>B7-B14</f>
        <v>56</v>
      </c>
      <c r="C17" s="220" t="s">
        <v>174</v>
      </c>
    </row>
    <row r="18" spans="1:10" ht="15" customHeight="1">
      <c r="A18" s="220" t="s">
        <v>555</v>
      </c>
      <c r="B18" s="221">
        <f>IFERROR(B17/B7,0)</f>
        <v>0.56000000000000005</v>
      </c>
      <c r="C18" s="220" t="s">
        <v>17</v>
      </c>
    </row>
    <row r="20" spans="1:10" ht="15" customHeight="1">
      <c r="A20" s="559" t="s">
        <v>556</v>
      </c>
      <c r="B20" s="496"/>
      <c r="C20" s="496"/>
      <c r="D20" s="496"/>
      <c r="E20" s="496"/>
      <c r="F20" s="496"/>
      <c r="G20" s="496"/>
      <c r="H20" s="496"/>
      <c r="I20" s="496"/>
      <c r="J20" s="496"/>
    </row>
    <row r="21" spans="1:10" ht="15" customHeight="1">
      <c r="A21" s="223" t="s">
        <v>557</v>
      </c>
      <c r="B21" s="223" t="s">
        <v>38</v>
      </c>
      <c r="C21" s="223" t="s">
        <v>558</v>
      </c>
      <c r="D21" s="223" t="s">
        <v>44</v>
      </c>
      <c r="E21" s="223" t="s">
        <v>559</v>
      </c>
      <c r="F21" s="223" t="s">
        <v>560</v>
      </c>
      <c r="G21" s="223" t="s">
        <v>561</v>
      </c>
      <c r="H21" s="223" t="s">
        <v>562</v>
      </c>
      <c r="I21" s="223"/>
      <c r="J21" s="223"/>
    </row>
    <row r="22" spans="1:10" ht="15" customHeight="1">
      <c r="A22" s="220">
        <v>6</v>
      </c>
      <c r="B22" s="220" t="str">
        <f>'PRESUPUESTO GENERAL'!B6</f>
        <v>TERRENO</v>
      </c>
      <c r="C22" s="222">
        <f>'PRESUPUESTO GENERAL'!H6</f>
        <v>458348.41</v>
      </c>
      <c r="D22" s="227" t="s">
        <v>563</v>
      </c>
      <c r="E22" s="228">
        <v>0</v>
      </c>
      <c r="F22" s="222">
        <f t="shared" ref="F22:F43" si="0">C22*E22</f>
        <v>0</v>
      </c>
      <c r="G22" s="222">
        <f t="shared" ref="G22:G43" si="1">C22-F22</f>
        <v>458348.41</v>
      </c>
      <c r="H22" s="220" t="s">
        <v>564</v>
      </c>
    </row>
    <row r="23" spans="1:10" ht="15" customHeight="1">
      <c r="A23" s="220">
        <v>9</v>
      </c>
      <c r="B23" s="220" t="str">
        <f>'PRESUPUESTO GENERAL'!B9</f>
        <v>Urbanización</v>
      </c>
      <c r="C23" s="222">
        <f>'PRESUPUESTO GENERAL'!H9</f>
        <v>157766.48000000001</v>
      </c>
      <c r="D23" s="229" t="s">
        <v>565</v>
      </c>
      <c r="E23" s="228">
        <v>1</v>
      </c>
      <c r="F23" s="222">
        <f t="shared" si="0"/>
        <v>157766.48000000001</v>
      </c>
      <c r="G23" s="222">
        <f t="shared" si="1"/>
        <v>0</v>
      </c>
      <c r="H23" s="220" t="s">
        <v>566</v>
      </c>
    </row>
    <row r="24" spans="1:10" ht="15" customHeight="1">
      <c r="A24" s="220">
        <v>11</v>
      </c>
      <c r="B24" s="220" t="str">
        <f>'PRESUPUESTO GENERAL'!B11</f>
        <v>Construcción de viviendas tipología A (16 U.V)</v>
      </c>
      <c r="C24" s="222">
        <f>'PRESUPUESTO GENERAL'!H11</f>
        <v>383476.36</v>
      </c>
      <c r="D24" s="229" t="s">
        <v>565</v>
      </c>
      <c r="E24" s="228">
        <v>1</v>
      </c>
      <c r="F24" s="222">
        <f t="shared" si="0"/>
        <v>383476.36</v>
      </c>
      <c r="G24" s="222">
        <f t="shared" si="1"/>
        <v>0</v>
      </c>
      <c r="H24" s="220" t="s">
        <v>567</v>
      </c>
    </row>
    <row r="25" spans="1:10" ht="15" customHeight="1">
      <c r="A25" s="220">
        <v>12</v>
      </c>
      <c r="B25" s="220" t="str">
        <f>'PRESUPUESTO GENERAL'!B12</f>
        <v>Construcción de viviendas tipología B (36 U.V)</v>
      </c>
      <c r="C25" s="222">
        <f>'PRESUPUESTO GENERAL'!H12</f>
        <v>1206935.72</v>
      </c>
      <c r="D25" s="229" t="s">
        <v>565</v>
      </c>
      <c r="E25" s="228">
        <v>1</v>
      </c>
      <c r="F25" s="222">
        <f t="shared" si="0"/>
        <v>1206935.72</v>
      </c>
      <c r="G25" s="222">
        <f t="shared" si="1"/>
        <v>0</v>
      </c>
      <c r="H25" s="220" t="s">
        <v>568</v>
      </c>
    </row>
    <row r="26" spans="1:10" ht="15" customHeight="1">
      <c r="A26" s="220">
        <v>13</v>
      </c>
      <c r="B26" s="220" t="str">
        <f>'PRESUPUESTO GENERAL'!B13</f>
        <v>Construcción de viviendas tipología C (48 U.V)</v>
      </c>
      <c r="C26" s="222">
        <f>'PRESUPUESTO GENERAL'!H13</f>
        <v>972789.99</v>
      </c>
      <c r="D26" s="229" t="s">
        <v>565</v>
      </c>
      <c r="E26" s="228">
        <v>1</v>
      </c>
      <c r="F26" s="222">
        <f t="shared" si="0"/>
        <v>972789.99</v>
      </c>
      <c r="G26" s="222">
        <f t="shared" si="1"/>
        <v>0</v>
      </c>
      <c r="H26" s="220" t="s">
        <v>569</v>
      </c>
    </row>
    <row r="27" spans="1:10" ht="15" customHeight="1">
      <c r="A27" s="220">
        <v>14</v>
      </c>
      <c r="B27" s="220" t="str">
        <f>'PRESUPUESTO GENERAL'!B14</f>
        <v>Infraestructura comunal</v>
      </c>
      <c r="C27" s="222">
        <f>'PRESUPUESTO GENERAL'!H14</f>
        <v>149460.04999999999</v>
      </c>
      <c r="D27" s="229" t="s">
        <v>565</v>
      </c>
      <c r="E27" s="228">
        <v>1</v>
      </c>
      <c r="F27" s="222">
        <f t="shared" si="0"/>
        <v>149460.04999999999</v>
      </c>
      <c r="G27" s="222">
        <f t="shared" si="1"/>
        <v>0</v>
      </c>
      <c r="H27" s="220" t="s">
        <v>46</v>
      </c>
    </row>
    <row r="28" spans="1:10" ht="15" customHeight="1">
      <c r="A28" s="220">
        <v>15</v>
      </c>
      <c r="B28" s="220" t="str">
        <f>'PRESUPUESTO GENERAL'!B15</f>
        <v>Redes eléctricas.</v>
      </c>
      <c r="C28" s="222">
        <f>'PRESUPUESTO GENERAL'!H15</f>
        <v>164547.59</v>
      </c>
      <c r="D28" s="229" t="s">
        <v>565</v>
      </c>
      <c r="E28" s="228">
        <v>1</v>
      </c>
      <c r="F28" s="222">
        <f t="shared" si="0"/>
        <v>164547.59</v>
      </c>
      <c r="G28" s="222">
        <f t="shared" si="1"/>
        <v>0</v>
      </c>
      <c r="H28" s="220" t="s">
        <v>47</v>
      </c>
    </row>
    <row r="29" spans="1:10" ht="15" customHeight="1">
      <c r="A29" s="220">
        <v>16</v>
      </c>
      <c r="B29" s="220" t="str">
        <f>'PRESUPUESTO GENERAL'!B16</f>
        <v>Redes hidrosanitarias.</v>
      </c>
      <c r="C29" s="222">
        <f>'PRESUPUESTO GENERAL'!H16</f>
        <v>100463.91</v>
      </c>
      <c r="D29" s="229" t="s">
        <v>565</v>
      </c>
      <c r="E29" s="228">
        <v>1</v>
      </c>
      <c r="F29" s="222">
        <f t="shared" si="0"/>
        <v>100463.91</v>
      </c>
      <c r="G29" s="222">
        <f t="shared" si="1"/>
        <v>0</v>
      </c>
      <c r="H29" s="220" t="s">
        <v>48</v>
      </c>
    </row>
    <row r="30" spans="1:10" ht="15" customHeight="1">
      <c r="A30" s="220">
        <v>17</v>
      </c>
      <c r="B30" s="220" t="str">
        <f>'PRESUPUESTO GENERAL'!B17</f>
        <v>Redes Especiales</v>
      </c>
      <c r="C30" s="222">
        <f>'PRESUPUESTO GENERAL'!H17</f>
        <v>58513.94</v>
      </c>
      <c r="D30" s="229" t="s">
        <v>565</v>
      </c>
      <c r="E30" s="228">
        <v>1</v>
      </c>
      <c r="F30" s="222">
        <f t="shared" si="0"/>
        <v>58513.94</v>
      </c>
      <c r="G30" s="222">
        <f t="shared" si="1"/>
        <v>0</v>
      </c>
      <c r="H30" s="220" t="s">
        <v>49</v>
      </c>
    </row>
    <row r="31" spans="1:10" ht="15" customHeight="1">
      <c r="A31" s="220">
        <v>18</v>
      </c>
      <c r="B31" s="220" t="str">
        <f>'PRESUPUESTO GENERAL'!B18</f>
        <v>Obras exteriores</v>
      </c>
      <c r="C31" s="222">
        <f>'PRESUPUESTO GENERAL'!H18</f>
        <v>42943.71</v>
      </c>
      <c r="D31" s="229" t="s">
        <v>565</v>
      </c>
      <c r="E31" s="228">
        <v>1</v>
      </c>
      <c r="F31" s="222">
        <f t="shared" si="0"/>
        <v>42943.71</v>
      </c>
      <c r="G31" s="222">
        <f t="shared" si="1"/>
        <v>0</v>
      </c>
      <c r="H31" s="220" t="s">
        <v>50</v>
      </c>
    </row>
    <row r="32" spans="1:10" ht="15" customHeight="1">
      <c r="A32" s="220">
        <v>19</v>
      </c>
      <c r="B32" s="220" t="str">
        <f>'PRESUPUESTO GENERAL'!B19</f>
        <v>IMPREVISTOS</v>
      </c>
      <c r="C32" s="222">
        <f>'PRESUPUESTO GENERAL'!H19</f>
        <v>161844.89000000001</v>
      </c>
      <c r="D32" s="229" t="s">
        <v>565</v>
      </c>
      <c r="E32" s="228">
        <v>1</v>
      </c>
      <c r="F32" s="222">
        <f t="shared" si="0"/>
        <v>161844.89000000001</v>
      </c>
      <c r="G32" s="222">
        <f t="shared" si="1"/>
        <v>0</v>
      </c>
      <c r="H32" s="220" t="s">
        <v>570</v>
      </c>
    </row>
    <row r="33" spans="1:8" ht="15" customHeight="1">
      <c r="A33" s="220">
        <v>20</v>
      </c>
      <c r="B33" s="220" t="str">
        <f>'PRESUPUESTO GENERAL'!B20</f>
        <v>I.V.A.</v>
      </c>
      <c r="C33" s="222">
        <f>'PRESUPUESTO GENERAL'!H20</f>
        <v>509811.4</v>
      </c>
      <c r="D33" s="229" t="s">
        <v>565</v>
      </c>
      <c r="E33" s="228">
        <v>1</v>
      </c>
      <c r="F33" s="222">
        <f t="shared" si="0"/>
        <v>509811.4</v>
      </c>
      <c r="G33" s="222">
        <f t="shared" si="1"/>
        <v>0</v>
      </c>
      <c r="H33" s="220" t="s">
        <v>571</v>
      </c>
    </row>
    <row r="34" spans="1:8" ht="15" customHeight="1">
      <c r="A34" s="220">
        <v>23</v>
      </c>
      <c r="B34" s="220" t="str">
        <f>'PRESUPUESTO GENERAL'!B23</f>
        <v>PLANIFICACION</v>
      </c>
      <c r="C34" s="222">
        <f>'PRESUPUESTO GENERAL'!H23</f>
        <v>117910.85</v>
      </c>
      <c r="D34" s="227" t="s">
        <v>563</v>
      </c>
      <c r="E34" s="228">
        <v>0</v>
      </c>
      <c r="F34" s="222">
        <f t="shared" si="0"/>
        <v>0</v>
      </c>
      <c r="G34" s="222">
        <f t="shared" si="1"/>
        <v>117910.85</v>
      </c>
      <c r="H34" s="220" t="s">
        <v>52</v>
      </c>
    </row>
    <row r="35" spans="1:8" ht="15" customHeight="1">
      <c r="A35" s="220">
        <v>31</v>
      </c>
      <c r="B35" s="220" t="str">
        <f>'PRESUPUESTO GENERAL'!B31</f>
        <v>IMPUESTOS -TASAS - GARANTIAS</v>
      </c>
      <c r="C35" s="222">
        <f>'PRESUPUESTO GENERAL'!H31</f>
        <v>192538.7009480338</v>
      </c>
      <c r="D35" s="227" t="s">
        <v>563</v>
      </c>
      <c r="E35" s="228">
        <v>0</v>
      </c>
      <c r="F35" s="222">
        <f t="shared" si="0"/>
        <v>0</v>
      </c>
      <c r="G35" s="222">
        <f t="shared" si="1"/>
        <v>192538.7009480338</v>
      </c>
      <c r="H35" s="220" t="s">
        <v>572</v>
      </c>
    </row>
    <row r="36" spans="1:8" ht="15" customHeight="1">
      <c r="A36" s="220">
        <v>42</v>
      </c>
      <c r="B36" s="220" t="str">
        <f>'PRESUPUESTO GENERAL'!B43</f>
        <v>Gastos Legales</v>
      </c>
      <c r="C36" s="222">
        <f>'PRESUPUESTO GENERAL'!H43</f>
        <v>7817.11</v>
      </c>
      <c r="D36" s="227" t="s">
        <v>563</v>
      </c>
      <c r="E36" s="228">
        <v>0</v>
      </c>
      <c r="F36" s="222">
        <f t="shared" si="0"/>
        <v>0</v>
      </c>
      <c r="G36" s="222">
        <f t="shared" si="1"/>
        <v>7817.11</v>
      </c>
      <c r="H36" s="220" t="s">
        <v>39</v>
      </c>
    </row>
    <row r="37" spans="1:8" ht="15" customHeight="1">
      <c r="A37" s="220">
        <v>43</v>
      </c>
      <c r="B37" s="220" t="str">
        <f>'PRESUPUESTO GENERAL'!B44</f>
        <v>Administrativos de Construcción</v>
      </c>
      <c r="C37" s="222">
        <f>'PRESUPUESTO GENERAL'!H44</f>
        <v>19542.77</v>
      </c>
      <c r="D37" s="227" t="s">
        <v>563</v>
      </c>
      <c r="E37" s="228">
        <v>0</v>
      </c>
      <c r="F37" s="222">
        <f t="shared" si="0"/>
        <v>0</v>
      </c>
      <c r="G37" s="222">
        <f t="shared" si="1"/>
        <v>19542.77</v>
      </c>
      <c r="H37" s="220" t="s">
        <v>573</v>
      </c>
    </row>
    <row r="38" spans="1:8" ht="15" customHeight="1">
      <c r="A38" s="220">
        <v>44</v>
      </c>
      <c r="B38" s="220" t="str">
        <f>'PRESUPUESTO GENERAL'!B45</f>
        <v>Administración Fiduciaria</v>
      </c>
      <c r="C38" s="222">
        <f>'PRESUPUESTO GENERAL'!H45</f>
        <v>78171.08</v>
      </c>
      <c r="D38" s="227" t="s">
        <v>563</v>
      </c>
      <c r="E38" s="228">
        <v>0</v>
      </c>
      <c r="F38" s="222">
        <f t="shared" si="0"/>
        <v>0</v>
      </c>
      <c r="G38" s="222">
        <f t="shared" si="1"/>
        <v>78171.08</v>
      </c>
      <c r="H38" s="220" t="s">
        <v>40</v>
      </c>
    </row>
    <row r="39" spans="1:8" ht="15" customHeight="1">
      <c r="A39" s="220">
        <v>45</v>
      </c>
      <c r="B39" s="220" t="str">
        <f>'PRESUPUESTO GENERAL'!B46</f>
        <v>Gerencia Técnica</v>
      </c>
      <c r="C39" s="222">
        <f>'PRESUPUESTO GENERAL'!H46</f>
        <v>117256.62</v>
      </c>
      <c r="D39" s="227" t="s">
        <v>563</v>
      </c>
      <c r="E39" s="228">
        <v>0</v>
      </c>
      <c r="F39" s="222">
        <f t="shared" si="0"/>
        <v>0</v>
      </c>
      <c r="G39" s="222">
        <f t="shared" si="1"/>
        <v>117256.62</v>
      </c>
      <c r="H39" s="220" t="s">
        <v>41</v>
      </c>
    </row>
    <row r="40" spans="1:8" ht="15" customHeight="1">
      <c r="A40" s="220">
        <v>46</v>
      </c>
      <c r="B40" s="220" t="str">
        <f>'PRESUPUESTO GENERAL'!B47</f>
        <v>Fiscalización</v>
      </c>
      <c r="C40" s="222">
        <f>'PRESUPUESTO GENERAL'!H47</f>
        <v>117256.62</v>
      </c>
      <c r="D40" s="227" t="s">
        <v>563</v>
      </c>
      <c r="E40" s="228">
        <v>0</v>
      </c>
      <c r="F40" s="222">
        <f t="shared" si="0"/>
        <v>0</v>
      </c>
      <c r="G40" s="222">
        <f t="shared" si="1"/>
        <v>117256.62</v>
      </c>
      <c r="H40" s="220" t="s">
        <v>42</v>
      </c>
    </row>
    <row r="41" spans="1:8" ht="15" customHeight="1">
      <c r="A41" s="220">
        <v>47</v>
      </c>
      <c r="B41" s="220" t="str">
        <f>'PRESUPUESTO GENERAL'!B48</f>
        <v>Promoción y Publicidad</v>
      </c>
      <c r="C41" s="222">
        <f>'PRESUPUESTO GENERAL'!H48</f>
        <v>70810.53</v>
      </c>
      <c r="D41" s="227" t="s">
        <v>563</v>
      </c>
      <c r="E41" s="228">
        <v>0</v>
      </c>
      <c r="F41" s="222">
        <f t="shared" si="0"/>
        <v>0</v>
      </c>
      <c r="G41" s="222">
        <f t="shared" si="1"/>
        <v>70810.53</v>
      </c>
      <c r="H41" s="220" t="s">
        <v>43</v>
      </c>
    </row>
    <row r="42" spans="1:8" ht="15" customHeight="1">
      <c r="A42" s="220">
        <v>48</v>
      </c>
      <c r="B42" s="220" t="str">
        <f>'PRESUPUESTO GENERAL'!B49</f>
        <v>Comisión de Ventas</v>
      </c>
      <c r="C42" s="222">
        <f>'PRESUPUESTO GENERAL'!H49</f>
        <v>212431.58</v>
      </c>
      <c r="D42" s="229" t="s">
        <v>565</v>
      </c>
      <c r="E42" s="228">
        <v>1</v>
      </c>
      <c r="F42" s="222">
        <f t="shared" si="0"/>
        <v>212431.58</v>
      </c>
      <c r="G42" s="222">
        <f t="shared" si="1"/>
        <v>0</v>
      </c>
      <c r="H42" s="220" t="s">
        <v>574</v>
      </c>
    </row>
    <row r="43" spans="1:8" ht="15" customHeight="1">
      <c r="A43" s="220">
        <v>51</v>
      </c>
      <c r="B43" s="220" t="str">
        <f>'PRESUPUESTO GENERAL'!B52</f>
        <v>Costos Financieros</v>
      </c>
      <c r="C43" s="222">
        <f>+'PRESUPUESTO GENERAL'!H51</f>
        <v>122299.31062845506</v>
      </c>
      <c r="D43" s="227" t="s">
        <v>563</v>
      </c>
      <c r="E43" s="228">
        <v>0</v>
      </c>
      <c r="F43" s="222">
        <f t="shared" si="0"/>
        <v>0</v>
      </c>
      <c r="G43" s="222">
        <f t="shared" si="1"/>
        <v>122299.31062845506</v>
      </c>
      <c r="H43" s="220" t="s">
        <v>575</v>
      </c>
    </row>
    <row r="45" spans="1:8" ht="15" customHeight="1">
      <c r="A45" s="230" t="s">
        <v>29</v>
      </c>
      <c r="C45" s="231">
        <f>SUM(C22:C43)</f>
        <v>5422937.6215764889</v>
      </c>
      <c r="F45" s="231">
        <f>SUM(F22:F43)</f>
        <v>4120985.6199999996</v>
      </c>
      <c r="G45" s="231">
        <f>SUM(G22:G43)</f>
        <v>1301952.0015764891</v>
      </c>
    </row>
    <row r="47" spans="1:8" ht="15" customHeight="1">
      <c r="A47" s="559" t="s">
        <v>576</v>
      </c>
      <c r="B47" s="496"/>
      <c r="C47" s="496"/>
      <c r="D47" s="496"/>
      <c r="E47" s="496"/>
      <c r="F47" s="496"/>
      <c r="G47" s="496"/>
      <c r="H47" s="496"/>
    </row>
    <row r="48" spans="1:8" ht="15" customHeight="1">
      <c r="A48" s="223" t="s">
        <v>577</v>
      </c>
      <c r="B48" s="223" t="s">
        <v>578</v>
      </c>
      <c r="C48" s="223" t="s">
        <v>579</v>
      </c>
      <c r="D48" s="223" t="s">
        <v>580</v>
      </c>
    </row>
    <row r="49" spans="1:4" ht="15" customHeight="1">
      <c r="A49" s="220" t="s">
        <v>581</v>
      </c>
      <c r="B49" s="225">
        <f>IFERROR(ROUNDUP($B$10/(($B$8*0.9)-($B$11*0.9)),0),0)</f>
        <v>49</v>
      </c>
      <c r="C49" s="225">
        <f>IFERROR(ROUNDUP($B$10/(($B$8*0.9)-$B$11),0),0)</f>
        <v>58</v>
      </c>
      <c r="D49" s="225">
        <f>IFERROR(ROUNDUP($B$10/(($B$8*0.9)-($B$11*1.1)),0),0)</f>
        <v>71</v>
      </c>
    </row>
    <row r="50" spans="1:4" ht="15" customHeight="1">
      <c r="A50" s="220" t="s">
        <v>582</v>
      </c>
      <c r="B50" s="225">
        <f>IFERROR(ROUNDUP($B$10/($B$8-($B$11*0.9)),0),0)</f>
        <v>39</v>
      </c>
      <c r="C50" s="232">
        <f>B14</f>
        <v>44</v>
      </c>
      <c r="D50" s="225">
        <f>IFERROR(ROUNDUP($B$10/($B$8-($B$11*1.1)),0),0)</f>
        <v>52</v>
      </c>
    </row>
    <row r="51" spans="1:4" ht="15" customHeight="1">
      <c r="A51" s="220" t="s">
        <v>583</v>
      </c>
      <c r="B51" s="225">
        <f>IFERROR(ROUNDUP($B$10/(($B$8*1.1)-($B$11*0.9)),0),0)</f>
        <v>32</v>
      </c>
      <c r="C51" s="225">
        <f>IFERROR(ROUNDUP($B$10/(($B$8*1.1)-$B$11),0),0)</f>
        <v>36</v>
      </c>
      <c r="D51" s="225">
        <f>IFERROR(ROUNDUP($B$10/(($B$8*1.1)-($B$11*1.1)),0),0)</f>
        <v>40</v>
      </c>
    </row>
  </sheetData>
  <mergeCells count="5">
    <mergeCell ref="A1:J1"/>
    <mergeCell ref="A2:J2"/>
    <mergeCell ref="A20:J20"/>
    <mergeCell ref="A4:F4"/>
    <mergeCell ref="A47:H47"/>
  </mergeCells>
  <dataValidations disablePrompts="1" count="1">
    <dataValidation type="list" sqref="D22:D43">
      <formula1>"Fijo,Variable,Mixto"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INDICE</vt:lpstr>
      <vt:lpstr>RESULTADOS</vt:lpstr>
      <vt:lpstr>PARAMETROS DEL PROYECTO</vt:lpstr>
      <vt:lpstr>PRESUPUESTO GENERAL</vt:lpstr>
      <vt:lpstr>CRONOGRAMA VALORADO</vt:lpstr>
      <vt:lpstr>FLUJO DE INGRESOS</vt:lpstr>
      <vt:lpstr>FLUJO DE CAJA</vt:lpstr>
      <vt:lpstr>MATRIZ VAN TIR</vt:lpstr>
      <vt:lpstr>MATRIZ PUNTO EQUILIBRIO</vt:lpstr>
      <vt:lpstr>'FLUJO DE CAJA'!Área_de_impresión</vt:lpstr>
      <vt:lpstr>'PRESUPUESTO GENERAL'!Área_de_impresión</vt:lpstr>
      <vt:lpstr>RESULTADOS!Área_de_impresión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2026-08-13T21:59:17Z</dcterms:created>
  <dcterms:modified xsi:type="dcterms:W3CDTF">2026-09-17T21:25:04Z</dcterms:modified>
</cp:coreProperties>
</file>